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6"/>
  </bookViews>
  <sheets>
    <sheet name="Scenarios" sheetId="1" r:id="rId1"/>
    <sheet name="Scenarios2" sheetId="2" r:id="rId2"/>
    <sheet name="NewExpenditures" sheetId="3" r:id="rId3"/>
    <sheet name="NewLevyandRates" sheetId="4" r:id="rId4"/>
    <sheet name="VillageBudget" sheetId="5" r:id="rId5"/>
    <sheet name="Rates" sheetId="6" r:id="rId6"/>
    <sheet name="RateTables" sheetId="7" r:id="rId7"/>
  </sheets>
  <definedNames>
    <definedName name="_xlnm.Print_Area" localSheetId="5">'Rates'!$F$2:$AC$43</definedName>
    <definedName name="_xlnm.Print_Titles" localSheetId="4">'VillageBudget'!$1:$2</definedName>
  </definedNames>
  <calcPr fullCalcOnLoad="1"/>
</workbook>
</file>

<file path=xl/comments2.xml><?xml version="1.0" encoding="utf-8"?>
<comments xmlns="http://schemas.openxmlformats.org/spreadsheetml/2006/main">
  <authors>
    <author>Michael</author>
  </authors>
  <commentList>
    <comment ref="C24" authorId="0">
      <text>
        <r>
          <rPr>
            <b/>
            <sz val="8"/>
            <rFont val="Tahoma"/>
            <family val="0"/>
          </rPr>
          <t>Clerk/Treas.:</t>
        </r>
        <r>
          <rPr>
            <sz val="8"/>
            <rFont val="Tahoma"/>
            <family val="0"/>
          </rPr>
          <t xml:space="preserve">
More than current expenditures, because this scenario assumes Town also terminates PT clerk that handles billing.</t>
        </r>
      </text>
    </comment>
    <comment ref="B5" authorId="0">
      <text>
        <r>
          <rPr>
            <b/>
            <sz val="8"/>
            <rFont val="Tahoma"/>
            <family val="0"/>
          </rPr>
          <t xml:space="preserve">DPW:
</t>
        </r>
        <r>
          <rPr>
            <sz val="8"/>
            <rFont val="Tahoma"/>
            <family val="2"/>
          </rPr>
          <t>Includes all expenditures except garbage and sidewalk snow removal.  These DPW functions are shown in green below.</t>
        </r>
        <r>
          <rPr>
            <sz val="8"/>
            <rFont val="Tahoma"/>
            <family val="0"/>
          </rPr>
          <t xml:space="preserve">
</t>
        </r>
      </text>
    </comment>
  </commentList>
</comments>
</file>

<file path=xl/comments5.xml><?xml version="1.0" encoding="utf-8"?>
<comments xmlns="http://schemas.openxmlformats.org/spreadsheetml/2006/main">
  <authors>
    <author>Michael</author>
  </authors>
  <commentList>
    <comment ref="Q153" authorId="0">
      <text>
        <r>
          <rPr>
            <b/>
            <sz val="8"/>
            <rFont val="Tahoma"/>
            <family val="0"/>
          </rPr>
          <t>Debt:</t>
        </r>
        <r>
          <rPr>
            <sz val="8"/>
            <rFont val="Tahoma"/>
            <family val="0"/>
          </rPr>
          <t xml:space="preserve">
Of $79,546, $32,578 doesn't exist in future - debt service ends as of Dec 31, 2009.  By 2010, only: $32,341.74 fire and $14,627 dump</t>
        </r>
      </text>
    </comment>
    <comment ref="Q240" authorId="0">
      <text>
        <r>
          <rPr>
            <b/>
            <sz val="8"/>
            <rFont val="Tahoma"/>
            <family val="0"/>
          </rPr>
          <t>Joint Sewer:</t>
        </r>
        <r>
          <rPr>
            <sz val="8"/>
            <rFont val="Tahoma"/>
            <family val="0"/>
          </rPr>
          <t xml:space="preserve">
Ignored so as to not double count</t>
        </r>
      </text>
    </comment>
    <comment ref="Q106" authorId="0">
      <text>
        <r>
          <rPr>
            <b/>
            <sz val="8"/>
            <rFont val="Tahoma"/>
            <family val="0"/>
          </rPr>
          <t xml:space="preserve">Youth Program:
</t>
        </r>
        <r>
          <rPr>
            <sz val="8"/>
            <rFont val="Tahoma"/>
            <family val="2"/>
          </rPr>
          <t>Revenue for Town, not included to avoid double counting.</t>
        </r>
        <r>
          <rPr>
            <sz val="8"/>
            <rFont val="Tahoma"/>
            <family val="0"/>
          </rPr>
          <t xml:space="preserve">
</t>
        </r>
      </text>
    </comment>
  </commentList>
</comments>
</file>

<file path=xl/sharedStrings.xml><?xml version="1.0" encoding="utf-8"?>
<sst xmlns="http://schemas.openxmlformats.org/spreadsheetml/2006/main" count="776" uniqueCount="545">
  <si>
    <t>DPW</t>
  </si>
  <si>
    <t>One</t>
  </si>
  <si>
    <t>Two</t>
  </si>
  <si>
    <t>Three</t>
  </si>
  <si>
    <t>Scenarios</t>
  </si>
  <si>
    <t>Scenario Three - No cost savings</t>
  </si>
  <si>
    <t>Board</t>
  </si>
  <si>
    <t>Scenario Two - Same</t>
  </si>
  <si>
    <t>Scenario Three - Same</t>
  </si>
  <si>
    <t xml:space="preserve">Scenario Two - </t>
  </si>
  <si>
    <t xml:space="preserve">Scenario One - </t>
  </si>
  <si>
    <t xml:space="preserve">Scenario Three - </t>
  </si>
  <si>
    <t>Clerk/Treasurer</t>
  </si>
  <si>
    <t>Services with no cost savings</t>
  </si>
  <si>
    <t>Code Enforcement</t>
  </si>
  <si>
    <t>Fire</t>
  </si>
  <si>
    <t>Village Hall</t>
  </si>
  <si>
    <t>Scenario One - Sold to third party, relieves $9,600 in operating costs</t>
  </si>
  <si>
    <t>Scenario Two - No cost savings, used by Town</t>
  </si>
  <si>
    <t>Scenario Three - No cost savings, used by Town</t>
  </si>
  <si>
    <t>Water</t>
  </si>
  <si>
    <t>Sewer</t>
  </si>
  <si>
    <t>WWTP</t>
  </si>
  <si>
    <t>Special Districts</t>
  </si>
  <si>
    <t>Garbage</t>
  </si>
  <si>
    <t>Totals</t>
  </si>
  <si>
    <t>Street Lighting</t>
  </si>
  <si>
    <t>Scenario Two - becomes special district charge</t>
  </si>
  <si>
    <t>Scenario Three - becomes special district charge</t>
  </si>
  <si>
    <t>Lighting</t>
  </si>
  <si>
    <t>Village Debt Service District</t>
  </si>
  <si>
    <t>Scenario Two - become special district charges</t>
  </si>
  <si>
    <t>Scenario Three - become special district charges</t>
  </si>
  <si>
    <t>village campground</t>
  </si>
  <si>
    <t>Net revenues (revenues-expenses) pass to Town</t>
  </si>
  <si>
    <t>Fire Services</t>
  </si>
  <si>
    <t>New Fire Services (Fire District #3 or Fire Protection District #2)</t>
  </si>
  <si>
    <t>Youth services</t>
  </si>
  <si>
    <t>Village normally contributes $3,000.  Loss of revenue and expense makes a wash for new Town.  Same with historian, library, celebrations.</t>
  </si>
  <si>
    <t>misc = elections, dues, vital stats, village board contract exp, other misc</t>
  </si>
  <si>
    <t>Village Debt Service District (+retiree liabilities)</t>
  </si>
  <si>
    <t>Scenario</t>
  </si>
  <si>
    <t>Efficiencies</t>
  </si>
  <si>
    <t>Reduced Services</t>
  </si>
  <si>
    <t>Costs Moved To Special Districts</t>
  </si>
  <si>
    <t>Total Cost Savings from Efficiencies and Reduced Services (Cost savings minus costs moved to special districts)</t>
  </si>
  <si>
    <t>Summary of Changes to the "New Town" Budget</t>
  </si>
  <si>
    <t>Of Which "Highway Fund"</t>
  </si>
  <si>
    <t>Decrease to "New Town" Budget</t>
  </si>
  <si>
    <t>General</t>
  </si>
  <si>
    <t>Highway</t>
  </si>
  <si>
    <t>Town</t>
  </si>
  <si>
    <t>Decrease to "New Town" Highway</t>
  </si>
  <si>
    <t>Decrease to "New Town" General</t>
  </si>
  <si>
    <t>Distribution of Changes to General and Highway Funds</t>
  </si>
  <si>
    <t>Total Decrease</t>
  </si>
  <si>
    <t>Town TOV</t>
  </si>
  <si>
    <t xml:space="preserve">Village (1) </t>
  </si>
  <si>
    <t>(1) Village "Highway" is everything under "Transportation" and "Home and Community Services" sub categories in Village Budget</t>
  </si>
  <si>
    <t>Scenario One</t>
  </si>
  <si>
    <t>Scenario Two</t>
  </si>
  <si>
    <t>Scenario Three</t>
  </si>
  <si>
    <t>Total Expenditures - With Additional AIM Incentives (3)</t>
  </si>
  <si>
    <t>Additional AIM</t>
  </si>
  <si>
    <t>Sub-Total Town and TOV</t>
  </si>
  <si>
    <t>Total</t>
  </si>
  <si>
    <t>Campground Receipts</t>
  </si>
  <si>
    <t>PILOTs</t>
  </si>
  <si>
    <t>Town Clerk Fees</t>
  </si>
  <si>
    <t>Vital Stat fees</t>
  </si>
  <si>
    <t xml:space="preserve">Franchise </t>
  </si>
  <si>
    <t>State payment for snow removal</t>
  </si>
  <si>
    <t>State Aid</t>
  </si>
  <si>
    <t>Sub-Total Town and Village</t>
  </si>
  <si>
    <t>Year</t>
  </si>
  <si>
    <t>TW</t>
  </si>
  <si>
    <t>TOV</t>
  </si>
  <si>
    <t>Non-Property Tax Revenue</t>
  </si>
  <si>
    <t>State Aid - CHIPs</t>
  </si>
  <si>
    <t>Taxable Assessed Value</t>
  </si>
  <si>
    <t>Required Property Tax Levy - With Additional AIM</t>
  </si>
  <si>
    <t>Required Property Tax Levy - Without Additional AIM</t>
  </si>
  <si>
    <t>Projected Tax Rates - Without Additional AIM</t>
  </si>
  <si>
    <t>Projected Tax Rates - With Additional AIM</t>
  </si>
  <si>
    <t>Village of Port Henry Expenditures</t>
  </si>
  <si>
    <t>ACCOUNT</t>
  </si>
  <si>
    <t xml:space="preserve">ACCT# </t>
  </si>
  <si>
    <t>2006-07 Actual</t>
  </si>
  <si>
    <t>2007-08 Actual</t>
  </si>
  <si>
    <t>2008-09 Actual</t>
  </si>
  <si>
    <t>2009-2010 Budget</t>
  </si>
  <si>
    <t>EXPENDITURES GENERAL</t>
  </si>
  <si>
    <t>LEG BOARD</t>
  </si>
  <si>
    <t>LEG BOARD, PERS SERV</t>
  </si>
  <si>
    <t>A1010.1</t>
  </si>
  <si>
    <t>LEG BOARD, CONTR EXP</t>
  </si>
  <si>
    <t>A1010.4</t>
  </si>
  <si>
    <t>TOTAL LEG BOARD</t>
  </si>
  <si>
    <t>MAYOR</t>
  </si>
  <si>
    <t>MAYOR, PERS SERV</t>
  </si>
  <si>
    <t>A1210.1</t>
  </si>
  <si>
    <t>MAYOR,CONTRACTUAL</t>
  </si>
  <si>
    <t>A1210.4</t>
  </si>
  <si>
    <t>TOTAL MAYOR</t>
  </si>
  <si>
    <t>TREASURER</t>
  </si>
  <si>
    <t>TREASURER, PERS SERV</t>
  </si>
  <si>
    <t>A1325.1</t>
  </si>
  <si>
    <t>TREASURER, EQUIP &amp; CAP OUTLAY</t>
  </si>
  <si>
    <t>A1325.2</t>
  </si>
  <si>
    <t>TREASURER, CONTR EXPEND</t>
  </si>
  <si>
    <t>A1325.4</t>
  </si>
  <si>
    <t>TOTAL TREASURER</t>
  </si>
  <si>
    <t>ASSESSMENT</t>
  </si>
  <si>
    <t>ASSESSMENT, CONTR EXPEND</t>
  </si>
  <si>
    <t>A1355.4</t>
  </si>
  <si>
    <t>TOTAL ASSESSMENT</t>
  </si>
  <si>
    <t>CLERK</t>
  </si>
  <si>
    <t>CLERK, PERS SERV</t>
  </si>
  <si>
    <t>A1410.1</t>
  </si>
  <si>
    <t>CLERK, CONTR EXPEND</t>
  </si>
  <si>
    <t>A1410.4</t>
  </si>
  <si>
    <t>TOTAL CLERK</t>
  </si>
  <si>
    <t>LAW</t>
  </si>
  <si>
    <t>LAW PERS SERV</t>
  </si>
  <si>
    <t>A1420.1</t>
  </si>
  <si>
    <t>LAW, CONTR EXPEND</t>
  </si>
  <si>
    <t>A1420.4</t>
  </si>
  <si>
    <t>TOTAL LAW</t>
  </si>
  <si>
    <t>ELECTIONS</t>
  </si>
  <si>
    <t>ELECTIONS, PERS SERV</t>
  </si>
  <si>
    <t>A1450.1</t>
  </si>
  <si>
    <t>ELECTIONS, CONTR EXPEND</t>
  </si>
  <si>
    <t>A1450.4</t>
  </si>
  <si>
    <t>TOTAL ELECTIONS</t>
  </si>
  <si>
    <t>OPERATION OF PLANT</t>
  </si>
  <si>
    <t>BUILDINGS EQUIPMENT</t>
  </si>
  <si>
    <t>A1620.2</t>
  </si>
  <si>
    <t>BUILDINGS, CONTR EXPEND</t>
  </si>
  <si>
    <t>A1620.4</t>
  </si>
  <si>
    <t>TOTAL OPERATION OF PLANT</t>
  </si>
  <si>
    <t>UNALLOCATED INSURANCE</t>
  </si>
  <si>
    <t>UNALLOCATED INSURANCE, CONTR EXPEND</t>
  </si>
  <si>
    <t>A1910.4</t>
  </si>
  <si>
    <t>MUNICIPAL ASSN DUES, CONTR EXPEND</t>
  </si>
  <si>
    <t>A1920.4</t>
  </si>
  <si>
    <t>TOTAL UNALLOCATED INSURANCE</t>
  </si>
  <si>
    <t>GENERAL SUPPORT</t>
  </si>
  <si>
    <t>CONTINGENT</t>
  </si>
  <si>
    <t>A1990.4</t>
  </si>
  <si>
    <t>PURCHASE LAND</t>
  </si>
  <si>
    <t>A1940.4</t>
  </si>
  <si>
    <t>TAXES &amp; ASSESSMENTS</t>
  </si>
  <si>
    <t>A1950.4</t>
  </si>
  <si>
    <t>REFUND ON REAL PROPERTY</t>
  </si>
  <si>
    <t>A1964.4</t>
  </si>
  <si>
    <t>OTHER GOVT SUPPORT</t>
  </si>
  <si>
    <t>A1989.4</t>
  </si>
  <si>
    <t>TOTAL GENERAL SUPPORT</t>
  </si>
  <si>
    <t>POLICE</t>
  </si>
  <si>
    <t>POLICE, PERS SERV</t>
  </si>
  <si>
    <t>A3120.1</t>
  </si>
  <si>
    <t>POLICE, CONTR EXPEND</t>
  </si>
  <si>
    <t>A3120.4</t>
  </si>
  <si>
    <t>TOTAL POLICE</t>
  </si>
  <si>
    <t>SAFETY</t>
  </si>
  <si>
    <t>FIRE DEPT, EQUIP &amp; CAP OUTLAY</t>
  </si>
  <si>
    <t>A3410.2</t>
  </si>
  <si>
    <t>FIRE DEPT, CONTR EXPEND</t>
  </si>
  <si>
    <t>A3410.4</t>
  </si>
  <si>
    <t>FIRE PROTECTION</t>
  </si>
  <si>
    <t>A3410.0</t>
  </si>
  <si>
    <t>TOTAL SAFETY</t>
  </si>
  <si>
    <t>TOTAL PUBLIC SAFETY</t>
  </si>
  <si>
    <t>PUBLIC HEALTH</t>
  </si>
  <si>
    <t>PUBLIC HEALTH, PERS SERV</t>
  </si>
  <si>
    <t>A4010.1</t>
  </si>
  <si>
    <t>PUBLIC HEALTH, CONTACTUAL EXP</t>
  </si>
  <si>
    <t>A4010.4</t>
  </si>
  <si>
    <t>TOTAL PUBLIC HEALTH</t>
  </si>
  <si>
    <t>REGISTRAR OF VITAL STATISTICS</t>
  </si>
  <si>
    <t>A4020.1</t>
  </si>
  <si>
    <t>A4020.4</t>
  </si>
  <si>
    <t>TOTAL REGISTRAR OF VITAL STATISTICS</t>
  </si>
  <si>
    <t>TOTAL HEALTH</t>
  </si>
  <si>
    <t>HIGHWAY ADMIN</t>
  </si>
  <si>
    <t>STREET ADMIN, PERS SERV</t>
  </si>
  <si>
    <t>A5010.1</t>
  </si>
  <si>
    <t>STREET ADMIN, CONTR EXPEND</t>
  </si>
  <si>
    <t>A5010.4</t>
  </si>
  <si>
    <t>TOTAL HIGHWAY ADMIN</t>
  </si>
  <si>
    <t>MAINT OF STREETS</t>
  </si>
  <si>
    <t>MAINT OF STREETS, PERS SERV</t>
  </si>
  <si>
    <t>A5110.1</t>
  </si>
  <si>
    <t>MAINT OF STREETS, EQUIPMENT</t>
  </si>
  <si>
    <t>A5110.2</t>
  </si>
  <si>
    <t>MAINT OF STREETS, CONTR EXPEND</t>
  </si>
  <si>
    <t>A5110.4</t>
  </si>
  <si>
    <t>TOTAL MAINT OF STREETS</t>
  </si>
  <si>
    <t>PERM IMPROVEMENTS HIGHWAY</t>
  </si>
  <si>
    <t>PERM IMPROVE HIGHWAY/ EQUIP/CAP OUTLAY</t>
  </si>
  <si>
    <t>A5112.2</t>
  </si>
  <si>
    <t>TOTAL PERM IMPROVEMENTS HIGHWAY</t>
  </si>
  <si>
    <t>SNOW REMOVAL</t>
  </si>
  <si>
    <t>SNOW REMOVAL, PERS SERV</t>
  </si>
  <si>
    <t>A5142.1</t>
  </si>
  <si>
    <t>SNOW REMOVAL, CONTR EXPEND</t>
  </si>
  <si>
    <t>A5142.4</t>
  </si>
  <si>
    <t>TOTAL SNOW REMOVAL</t>
  </si>
  <si>
    <t>STREET LIGHTING</t>
  </si>
  <si>
    <t>STREET LIGHTING, CONTR EXPEND</t>
  </si>
  <si>
    <t>A5182.4</t>
  </si>
  <si>
    <t>TOTAL STREET LIGHTING</t>
  </si>
  <si>
    <t>SIDEWALKS</t>
  </si>
  <si>
    <t>SIDEWALKS, PERS SERV</t>
  </si>
  <si>
    <t>A5410.1</t>
  </si>
  <si>
    <t>SIDEWALKS, CONTR EXPEND</t>
  </si>
  <si>
    <t>A5410.4</t>
  </si>
  <si>
    <t>TOTAL SIDEWALKS</t>
  </si>
  <si>
    <t>TOTAL TRANSPORTATION</t>
  </si>
  <si>
    <t>PUBLICITY</t>
  </si>
  <si>
    <t>PUBLICITY, CONTR EXPEND</t>
  </si>
  <si>
    <t>A6410.4</t>
  </si>
  <si>
    <t>TOTAL PUBLICITY</t>
  </si>
  <si>
    <t>OTHER ECONOMIC ASST</t>
  </si>
  <si>
    <t>OTHER ECO &amp; DEV, CONTR EXPEND</t>
  </si>
  <si>
    <t>A6989.4</t>
  </si>
  <si>
    <t>TOTAL OTHER ECONOMIC ASST</t>
  </si>
  <si>
    <t>TOTAL ECONOMIC ASST &amp; OPPORTUNITY</t>
  </si>
  <si>
    <t>PARKS</t>
  </si>
  <si>
    <t>PLAYGR &amp; REC CENTERS, PERS SERV</t>
  </si>
  <si>
    <t>A7140.1</t>
  </si>
  <si>
    <t>PLAYGR &amp; REC CENTERS, EQUIP &amp; CAP OUTLAY</t>
  </si>
  <si>
    <t>A7140.2</t>
  </si>
  <si>
    <t>PLAYGR &amp; REC CENTERS, CONTR EXPEND</t>
  </si>
  <si>
    <t>A7140.4</t>
  </si>
  <si>
    <t>PLAYGR &amp; REC CENTERS,JOINT PERS SERV</t>
  </si>
  <si>
    <t>A7145.1</t>
  </si>
  <si>
    <t>PLAYGR &amp; REC CENTERS,JOINT CONT SERV</t>
  </si>
  <si>
    <t>A7145.4</t>
  </si>
  <si>
    <t>TOTAL PARKS</t>
  </si>
  <si>
    <t>YOUTH PROGRAM</t>
  </si>
  <si>
    <t>YOUTH PROG, CONTR EXPEND</t>
  </si>
  <si>
    <t>A7310.4</t>
  </si>
  <si>
    <t>TOTAL YOUTH PROGRAM</t>
  </si>
  <si>
    <t>MUSEUM LIBRARY</t>
  </si>
  <si>
    <t>LIBRARY, CONTR EXPEND</t>
  </si>
  <si>
    <t>A7410.4</t>
  </si>
  <si>
    <t>TOTAL MUSEUM LIBRARY</t>
  </si>
  <si>
    <t>HISTORIAN</t>
  </si>
  <si>
    <t>HISTORIAN, CONTR EXP</t>
  </si>
  <si>
    <t>A7510.4</t>
  </si>
  <si>
    <t>TOTAL HISTORIAN</t>
  </si>
  <si>
    <t>ADULT RECREATION</t>
  </si>
  <si>
    <t>CELEBRATION CONTRACTUAL EXPE</t>
  </si>
  <si>
    <t>A7550.4</t>
  </si>
  <si>
    <t>ADULT RECREATION, CONTR EXPEND</t>
  </si>
  <si>
    <t>A7620.4</t>
  </si>
  <si>
    <t>TOTAL ADULT RECREATION</t>
  </si>
  <si>
    <t>TOTAL CULTURE &amp; RECREATION</t>
  </si>
  <si>
    <t>REFUSE &amp; GARBAGE</t>
  </si>
  <si>
    <t>PLANNING</t>
  </si>
  <si>
    <t>A8020.4</t>
  </si>
  <si>
    <t>REFUSE &amp; GARBAGE, PERS SERV</t>
  </si>
  <si>
    <t>A8160.1</t>
  </si>
  <si>
    <t>REFUSE &amp; GARBAGE, CONTR EXPEND</t>
  </si>
  <si>
    <t>A8160.4</t>
  </si>
  <si>
    <t>TOTAL REFUSE &amp; GARBAGE</t>
  </si>
  <si>
    <t>HOME/COMMUN</t>
  </si>
  <si>
    <t>STREET CLEANING, PERS SERV</t>
  </si>
  <si>
    <t>A8170.1</t>
  </si>
  <si>
    <t>STREET CLEANING, CONTR EXPEND</t>
  </si>
  <si>
    <t>A8170.4</t>
  </si>
  <si>
    <t>TOTAL HOME/COMMUN</t>
  </si>
  <si>
    <t>COMMUNITY BEAUTIFICATION</t>
  </si>
  <si>
    <t>COMM BEAUTIFICATION, CONTR EXPEND</t>
  </si>
  <si>
    <t>A8510.4</t>
  </si>
  <si>
    <t>TOTAL COMMUNITY BEAUTIFICATION</t>
  </si>
  <si>
    <t>SHADE TREE, CONTR EXPEND</t>
  </si>
  <si>
    <t>A8560.4</t>
  </si>
  <si>
    <t>TOTAL SHADE TREE</t>
  </si>
  <si>
    <t>CEMETERY, CONTR EXPEND</t>
  </si>
  <si>
    <t>A8810.4</t>
  </si>
  <si>
    <t>TOTAL HOME &amp; COMMUNITY SERVICES</t>
  </si>
  <si>
    <t>EMPLOYEE-BENEFITS</t>
  </si>
  <si>
    <t>STATE RETIREMENT SYSTEM</t>
  </si>
  <si>
    <t>A9010.8</t>
  </si>
  <si>
    <t>SOCIAL SECURITY, EMPLOYER CONT</t>
  </si>
  <si>
    <t>A9030.8</t>
  </si>
  <si>
    <t>MEDICARE, EMPL BNFTS</t>
  </si>
  <si>
    <t>A9035.8</t>
  </si>
  <si>
    <t>WORKER'S COMPENSATION, EMPL BNFTS</t>
  </si>
  <si>
    <t>A9040.8</t>
  </si>
  <si>
    <t>UNEMPLOYMENT INSURANCE, EMPL BNFTS</t>
  </si>
  <si>
    <t>A9050.8</t>
  </si>
  <si>
    <t>DISABILITY INSURANCE, EMPL BNTS</t>
  </si>
  <si>
    <t>A9055.8</t>
  </si>
  <si>
    <t>HOSPITAL &amp; MEDICAL/DENTAL INS, EMPL BNTS</t>
  </si>
  <si>
    <t>A9060.8</t>
  </si>
  <si>
    <t>TOTAL EMPLOYEE-BENEFITS</t>
  </si>
  <si>
    <t>DEBT PRINCIPAL</t>
  </si>
  <si>
    <t>INSTALL PUR DEBT, PRINCIPAL</t>
  </si>
  <si>
    <t>A9785.6</t>
  </si>
  <si>
    <t>TOTAL DEBT PRINCIPAL</t>
  </si>
  <si>
    <t>INTEREST</t>
  </si>
  <si>
    <t>INSTALL PUR DEBT, INTEREST</t>
  </si>
  <si>
    <t>A9785.7</t>
  </si>
  <si>
    <t>TOTAL INTEREST</t>
  </si>
  <si>
    <t>BAN-PRINCIPAL</t>
  </si>
  <si>
    <t>A9730.6</t>
  </si>
  <si>
    <t>BAN-INTEREST</t>
  </si>
  <si>
    <t>A9730.7</t>
  </si>
  <si>
    <t>TOTAL BAN</t>
  </si>
  <si>
    <t>TOTAL DEBT</t>
  </si>
  <si>
    <t>TOTAL GENERAL EXPENDITURES</t>
  </si>
  <si>
    <t>EXPENDITURES WATER</t>
  </si>
  <si>
    <t>WATER ADM</t>
  </si>
  <si>
    <t>WATER DUES</t>
  </si>
  <si>
    <t>F1920.4</t>
  </si>
  <si>
    <t>CONTINGENT ACCOUNT</t>
  </si>
  <si>
    <t>F1990.4</t>
  </si>
  <si>
    <t>WATER ADM, PERS SERV</t>
  </si>
  <si>
    <t>F8310.1</t>
  </si>
  <si>
    <t>WATER ADM, CONT EXPEND</t>
  </si>
  <si>
    <t>F8310.4</t>
  </si>
  <si>
    <t>TOTAL WATER ADM</t>
  </si>
  <si>
    <t>SUPPLY/POWER/PUMPING</t>
  </si>
  <si>
    <t>SOURCE SUPPLY PWRIPUMP/PERS SERV</t>
  </si>
  <si>
    <t xml:space="preserve"> F8320.1</t>
  </si>
  <si>
    <t xml:space="preserve">SOURCE SUPPLY PWR/PUMP-CONTR EXP </t>
  </si>
  <si>
    <t>F8320.4</t>
  </si>
  <si>
    <t>TOTAL SUPPLY/POWER/PUMPING</t>
  </si>
  <si>
    <t>PURIFICATION</t>
  </si>
  <si>
    <t>WATER PURIFICATION, PERS SERV</t>
  </si>
  <si>
    <t>F8330.1</t>
  </si>
  <si>
    <t>WATER PURIFICATION, CONTR EXPEND</t>
  </si>
  <si>
    <t>F8330.4</t>
  </si>
  <si>
    <t>TOTAL PURIFICATION</t>
  </si>
  <si>
    <t>TRANSMISSION &amp; DISTRIBUTION</t>
  </si>
  <si>
    <t>WATER TRANS/DISTR/PERS SERV</t>
  </si>
  <si>
    <t>F8340.1</t>
  </si>
  <si>
    <t>WATER TRANS/DISTR/EQUIP</t>
  </si>
  <si>
    <t>F8340.2</t>
  </si>
  <si>
    <t>WATER TRANS/DISTR/CONTR EXPEND</t>
  </si>
  <si>
    <t>F8340.4</t>
  </si>
  <si>
    <t>TOTAL TRANSMISSION &amp; DISTRIBUTION</t>
  </si>
  <si>
    <t>TOTAL HOME &amp; COMMUNITY</t>
  </si>
  <si>
    <t>EMPLOYEE BENEFITS</t>
  </si>
  <si>
    <t>STATE RETIREMENT, EMPL BNFTS</t>
  </si>
  <si>
    <t>F9010.8</t>
  </si>
  <si>
    <t>SOCIAL SECURITY, EMPL BNFTS</t>
  </si>
  <si>
    <t>F9030.8</t>
  </si>
  <si>
    <t>F9035.8</t>
  </si>
  <si>
    <t>W COMP, EMPL BNFTS</t>
  </si>
  <si>
    <t>F9040.8</t>
  </si>
  <si>
    <t>DISABILITY INS, EMPL BNFTS</t>
  </si>
  <si>
    <t>F9055.8</t>
  </si>
  <si>
    <t>HOSP/MED/DENTAL INS, EMPL BNFT</t>
  </si>
  <si>
    <t>F9060.8</t>
  </si>
  <si>
    <t>TOTAL EMPLOYEE BENEFITS</t>
  </si>
  <si>
    <t>DEBT PRINCIPAL, SERIAL BONDS</t>
  </si>
  <si>
    <t>F9710.6</t>
  </si>
  <si>
    <t>DEBT PRINCIPAL, BAN</t>
  </si>
  <si>
    <t>F9730.6</t>
  </si>
  <si>
    <t>DEBT INTEREST</t>
  </si>
  <si>
    <t>DEBT INTEREST, BAN</t>
  </si>
  <si>
    <t>F9730.7</t>
  </si>
  <si>
    <t>DEBT INTEREST, SERIAL BONDS</t>
  </si>
  <si>
    <t>F9710.7</t>
  </si>
  <si>
    <t>TOTAL DEBT INTEREST</t>
  </si>
  <si>
    <t>TOTAL EXPENDITURE WATER</t>
  </si>
  <si>
    <t>EXPENDITURES SEWER</t>
  </si>
  <si>
    <t>HOME AND COMM.</t>
  </si>
  <si>
    <t>ENGINEERS</t>
  </si>
  <si>
    <t>G1440.4</t>
  </si>
  <si>
    <t>-</t>
  </si>
  <si>
    <t>G1989.4</t>
  </si>
  <si>
    <t>SEWER ADM, PERS SERV</t>
  </si>
  <si>
    <t>G8110.1</t>
  </si>
  <si>
    <t>SER ADM,CONTR EXPEND</t>
  </si>
  <si>
    <t>G8110.4</t>
  </si>
  <si>
    <t>SANITARY SEWERS, PERS SERV</t>
  </si>
  <si>
    <t>G8120.1</t>
  </si>
  <si>
    <t>SANITARY EQUIPMENT</t>
  </si>
  <si>
    <t>G8120.2</t>
  </si>
  <si>
    <t>SANITARY SEWERS, CONTR EXPEND</t>
  </si>
  <si>
    <t>G8120.4</t>
  </si>
  <si>
    <t>SEWAGE TREAT DISP, CONTR EXPEND</t>
  </si>
  <si>
    <t>G8130.4</t>
  </si>
  <si>
    <t>TRANSFER TO OTHER FUNDS</t>
  </si>
  <si>
    <t>G9950.9</t>
  </si>
  <si>
    <t>TOTAL HOME AND COMM.</t>
  </si>
  <si>
    <t>DEBT</t>
  </si>
  <si>
    <t>G9030.8</t>
  </si>
  <si>
    <t>MEDICARE,EMPL BNFTS</t>
  </si>
  <si>
    <t>G9035.8</t>
  </si>
  <si>
    <t>G9710.6</t>
  </si>
  <si>
    <t>G9710.7</t>
  </si>
  <si>
    <t>G9730.6</t>
  </si>
  <si>
    <t>DEBT INTEREST,BAN</t>
  </si>
  <si>
    <t>G9730.7</t>
  </si>
  <si>
    <t>TOTAL EXPENDITURE SEWER</t>
  </si>
  <si>
    <t>EXPENDITURES JOINT SEWER</t>
  </si>
  <si>
    <t>JA1440.4</t>
  </si>
  <si>
    <t>JA1910.4</t>
  </si>
  <si>
    <t>JA1990.4</t>
  </si>
  <si>
    <t>DUES</t>
  </si>
  <si>
    <t>JA1920.4</t>
  </si>
  <si>
    <t>SANITATION</t>
  </si>
  <si>
    <t>SER ADM, PERS SERV</t>
  </si>
  <si>
    <t>JA8110.1</t>
  </si>
  <si>
    <t>SER ADM,EQUIP</t>
  </si>
  <si>
    <t>JA8110.2</t>
  </si>
  <si>
    <t>SER ADM, CONTR EXPEND</t>
  </si>
  <si>
    <t>JA8110.4</t>
  </si>
  <si>
    <t>TOTAL SANITATION</t>
  </si>
  <si>
    <t>SEWAGE</t>
  </si>
  <si>
    <t>JA8130.1</t>
  </si>
  <si>
    <t>SEWAGE TREAT DISP, EQUIP</t>
  </si>
  <si>
    <t>JA8130.2</t>
  </si>
  <si>
    <t>JA8130.4</t>
  </si>
  <si>
    <t>TOTAL SEWAGE</t>
  </si>
  <si>
    <t>STATE RETIREMENT</t>
  </si>
  <si>
    <t>JA9010.8</t>
  </si>
  <si>
    <t>JA9030.8</t>
  </si>
  <si>
    <t>JA9035.8</t>
  </si>
  <si>
    <t>WORKERS COMP</t>
  </si>
  <si>
    <t>JA9040.8</t>
  </si>
  <si>
    <t>DISABILITY INS</t>
  </si>
  <si>
    <t>JA9055.8</t>
  </si>
  <si>
    <t>HOSPITAL INS</t>
  </si>
  <si>
    <t>JA9060.8</t>
  </si>
  <si>
    <t>TOTAL EXPENDITURE JOINT SEWER</t>
  </si>
  <si>
    <t>Total General Fund Expenditures</t>
  </si>
  <si>
    <t>Total Water Expenditures</t>
  </si>
  <si>
    <t>Total Sewer Expenditures</t>
  </si>
  <si>
    <t>Total Joint Sewer Expenditures</t>
  </si>
  <si>
    <t>Grand Total Expenditures</t>
  </si>
  <si>
    <t>Village Debt Service</t>
  </si>
  <si>
    <t>Other</t>
  </si>
  <si>
    <t>Ignore</t>
  </si>
  <si>
    <t>Village</t>
  </si>
  <si>
    <t>Scenario One - Highest Level of Changes (costs moved to special districts, cost savings, reduced services)</t>
  </si>
  <si>
    <t>Scenario Two - Medium Level of Changes</t>
  </si>
  <si>
    <t>Scenario Three - Lowest Levels of Changes</t>
  </si>
  <si>
    <t>Current Expenditures</t>
  </si>
  <si>
    <t>Impact - Village Resident</t>
  </si>
  <si>
    <t>Impact - TOV Resident</t>
  </si>
  <si>
    <t>Do not alter any "CHANGES" numbers</t>
  </si>
  <si>
    <t>Scenario One - All Board ($27,689), 10% insurance savings (approx $3000) and $1,000 legal, $275 in misc</t>
  </si>
  <si>
    <t xml:space="preserve">Scenario Two - all debt service ($14,627) and retiree liability ($26,000) gets put in debt service district </t>
  </si>
  <si>
    <t>Total Changes</t>
  </si>
  <si>
    <t>Reductions in Services</t>
  </si>
  <si>
    <t>Key To Color Codes</t>
  </si>
  <si>
    <t>Village Non-Property Tax Revenue</t>
  </si>
  <si>
    <t>Use of Fund Balance</t>
  </si>
  <si>
    <t>Ignore this table - recreated on next tab</t>
  </si>
  <si>
    <t>Youth Allocation of Village to Town</t>
  </si>
  <si>
    <t>&lt;--to not double count Village's expense contribution to Town</t>
  </si>
  <si>
    <t>Per $1000 of assessed value</t>
  </si>
  <si>
    <t>Town tax</t>
  </si>
  <si>
    <t>Village tax</t>
  </si>
  <si>
    <t>Town Highway tax</t>
  </si>
  <si>
    <t>Town TOV tax (hwy. &amp; general)</t>
  </si>
  <si>
    <t>Debt Service District tax</t>
  </si>
  <si>
    <t>Lighting District tax</t>
  </si>
  <si>
    <t>Fire District/ Fire Protection District tax</t>
  </si>
  <si>
    <t>Current Tax</t>
  </si>
  <si>
    <t>Proposed Changes</t>
  </si>
  <si>
    <t>Proposed Tax</t>
  </si>
  <si>
    <t>Tax on Home Assessed for $100,000</t>
  </si>
  <si>
    <t>Percentage Change in Tax</t>
  </si>
  <si>
    <t>Current Village Resident</t>
  </si>
  <si>
    <t>Village Assessment</t>
  </si>
  <si>
    <t>Town Assessment</t>
  </si>
  <si>
    <t>Current</t>
  </si>
  <si>
    <t>With AIM</t>
  </si>
  <si>
    <t>Without AIM</t>
  </si>
  <si>
    <t>Change</t>
  </si>
  <si>
    <t>% Change</t>
  </si>
  <si>
    <t>More over here  -----------------------------------------------------------------------------&gt;&gt;&gt;&gt;&gt;&gt;&gt;&gt;&gt;&gt;&gt;&gt;&gt;&gt;&gt;&gt;</t>
  </si>
  <si>
    <t>Village Resident (1)</t>
  </si>
  <si>
    <t xml:space="preserve">TOV Resident (2) </t>
  </si>
  <si>
    <t>Summary of Changes to Town and Village Tax Rates</t>
  </si>
  <si>
    <t>(1) Village Residents would have to add in water and sewer rates/fees, if they are water/sewer users.</t>
  </si>
  <si>
    <t>Special District Tax Rates for Former Village Residents</t>
  </si>
  <si>
    <t>Total Special District Rates</t>
  </si>
  <si>
    <t>Summary of Town and Village Tax Rates Before and After Dissolution</t>
  </si>
  <si>
    <t>Village Residents</t>
  </si>
  <si>
    <t>TOV Residents</t>
  </si>
  <si>
    <t>Comparison of Current to Future Town and Village Rates</t>
  </si>
  <si>
    <t>(2) TOV residents would have to add in water, sewer, and fire district/fire protection district rates/fees, as applicable.</t>
  </si>
  <si>
    <t>Notes: Rate only include Town and Village tax rates and special districts created upon dissolution.  Does not include county rate or any other special district tax rates/fees (e.g. water and sewer).</t>
  </si>
  <si>
    <t>Town and Village Taxes for House Assessed at $100,000</t>
  </si>
  <si>
    <t>Permits and license</t>
  </si>
  <si>
    <t>Scenario One - Lose one FTE ($55,000) and one Truck ($10,000)</t>
  </si>
  <si>
    <t>Scenario Two - Lose $10,000 in overtime and one truck ($10,000)</t>
  </si>
  <si>
    <t>Descriptions of Scenarios and Decreases to "NEW TOWN" Budget</t>
  </si>
  <si>
    <t>Scenario One - becomes special district charge ($29,900)</t>
  </si>
  <si>
    <t>Scenario Three - becomes townwide cost as per existing Town lighting situation</t>
  </si>
  <si>
    <t>Scenario One - Fire services ($53,000) and fire truck lease obligation ($32,341) move to new district</t>
  </si>
  <si>
    <t>Scenario Two - Fire services ($53,000) and fire truck lease obligation ($32,341) move to new district</t>
  </si>
  <si>
    <t>Scenario Three - Fire services ($53,000) and fire truck lease obligation ($32,341) move to new district</t>
  </si>
  <si>
    <t>Scenario One - Total decrease to "New Town Budget"</t>
  </si>
  <si>
    <t>Scenario Two - Total decrease to "New Town Budget"</t>
  </si>
  <si>
    <t>Scenario Three - Total decrease to "New Town Budget"</t>
  </si>
  <si>
    <t>Total New Special Districts</t>
  </si>
  <si>
    <t>Total "New Town" Expenditures</t>
  </si>
  <si>
    <t>Projected "New Town" Expenditures</t>
  </si>
  <si>
    <t>Decreases Resulting from Dissolution (2)</t>
  </si>
  <si>
    <t>(2) Due to Efficiencies, Reduced Services, Transfer of Cost to Special Districts and Use of Village Fund Balance</t>
  </si>
  <si>
    <t>"New Town" Tax Levy and Rates</t>
  </si>
  <si>
    <t>Amount</t>
  </si>
  <si>
    <t>Item</t>
  </si>
  <si>
    <t>Fund</t>
  </si>
  <si>
    <t>Town (1)</t>
  </si>
  <si>
    <t>Village (2)</t>
  </si>
  <si>
    <t>Additional AIM (3)</t>
  </si>
  <si>
    <t>(2) Non-property tax sources of revenue that would transfer to the Town - campground receipts, PILOTs, fees, franchise fees, state aid</t>
  </si>
  <si>
    <r>
      <t xml:space="preserve">(3) CGR estimates that the Town will receive an </t>
    </r>
    <r>
      <rPr>
        <u val="single"/>
        <sz val="10"/>
        <rFont val="Arial"/>
        <family val="2"/>
      </rPr>
      <t>additional</t>
    </r>
    <r>
      <rPr>
        <sz val="10"/>
        <rFont val="Arial"/>
        <family val="0"/>
      </rPr>
      <t xml:space="preserve"> $303,600 in AIM incentives in the year following dissolution.</t>
    </r>
  </si>
  <si>
    <t>(1) Both the Village and the Town should begin receiving an allocation of the County's sales tax receipts beginning in 2010.  Should the Village dissolve, the Town would instead receive the Village's allocation.  Since the total amount of sales tax revenue will not be affected by dissolution, it will not be considered in this analysis.</t>
  </si>
  <si>
    <t>Scenario One With AIM</t>
  </si>
  <si>
    <t>Scenario Two With AIM</t>
  </si>
  <si>
    <t>Scenario Three With AIM</t>
  </si>
  <si>
    <t>Scenario One Without AIM</t>
  </si>
  <si>
    <t>Scenario Two Without AIM</t>
  </si>
  <si>
    <t>Scenario Three Without AIM</t>
  </si>
  <si>
    <t>Current TOV Resident</t>
  </si>
  <si>
    <t>Sidewalks Snow Removal</t>
  </si>
  <si>
    <t>Scenario One - Sidewalk snow removal (est. $6,000) services are no longer provided.</t>
  </si>
  <si>
    <t>Sidewalk Repair</t>
  </si>
  <si>
    <t>Street Sweeping</t>
  </si>
  <si>
    <t>Sidewalk Snow Removal</t>
  </si>
  <si>
    <t>Sidewalk Snow Removal District tax</t>
  </si>
  <si>
    <t>Total Tax Rate*</t>
  </si>
  <si>
    <t>* Town taxpayer also needs to add own fire tax</t>
  </si>
  <si>
    <t>Refuse/Recycling</t>
  </si>
  <si>
    <t>Lines: As per Villages "Transportation" and "Home &amp; Community Services" sub categories in the General Fund except Street Lighting, Sidewalks, Street Cleaning and Refuse/Recycling.</t>
  </si>
  <si>
    <t>Scenario One - No Refuse/Recycling collection services ($25,500)</t>
  </si>
  <si>
    <t>Scenario One - lose one full time ($31,605) and one PT ($3,500), plus $12,000 in general administration contractual expense</t>
  </si>
  <si>
    <t>Scenario Two - lose 1 FTE ($31,605) + $6000 in general admin</t>
  </si>
  <si>
    <t>Scenario Three - lose only PT clerk $3,500 and $6000 general admin</t>
  </si>
  <si>
    <t>Scenario One - Village retires all general debt from fund balance of general fund, eliminating debt service ($14,627).  All remaining General Fund balance is used to pay for ongoing retiree obligations of $26,000 per year.</t>
  </si>
  <si>
    <t>Scenario Two - Village retires all general debt from fund balance of general fund, eliminating debt service ($14,627).  All remaining General Fund balance is used to pay for ongoing retiree obligations of $26,000 per year.</t>
  </si>
  <si>
    <t>Refuse/Recycling Collection District tax</t>
  </si>
  <si>
    <t>Sidewalks Snow Removal District tax</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</si>
</sst>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00_);_(* \(#,##0.000\);_(* &quot;-&quot;??_);_(@_)"/>
    <numFmt numFmtId="166" formatCode="_(* #,##0.0000_);_(* \(#,##0.0000\);_(* &quot;-&quot;??_);_(@_)"/>
    <numFmt numFmtId="167" formatCode="_(* #,##0.00000_);_(* \(#,##0.00000\);_(* &quot;-&quot;??_);_(@_)"/>
    <numFmt numFmtId="168" formatCode="_(* #,##0.0_);_(* \(#,##0.0\);_(* &quot;-&quot;??_);_(@_)"/>
    <numFmt numFmtId="169" formatCode="_(* #,##0_);_(* \(#,##0\);_(* &quot;-&quot;??_);_(@_)"/>
    <numFmt numFmtId="170" formatCode="_(&quot;$&quot;* #,##0_);_(&quot;$&quot;* \(#,##0\);_(&quot;$&quot;* &quot;-&quot;??_);_(@_)"/>
    <numFmt numFmtId="171" formatCode="0.0000000"/>
    <numFmt numFmtId="172" formatCode="0.000000"/>
    <numFmt numFmtId="173" formatCode="0.00000"/>
    <numFmt numFmtId="174" formatCode="0.0000"/>
    <numFmt numFmtId="175" formatCode="0.000"/>
    <numFmt numFmtId="176" formatCode="&quot;$&quot;#,##0.00"/>
    <numFmt numFmtId="177" formatCode="_(&quot;$&quot;* #,##0.0_);_(&quot;$&quot;* \(#,##0.0\);_(&quot;$&quot;* &quot;-&quot;??_);_(@_)"/>
    <numFmt numFmtId="178" formatCode="&quot;$&quot;#,##0.0"/>
    <numFmt numFmtId="179" formatCode="0.0%"/>
  </numFmts>
  <fonts count="52">
    <font>
      <sz val="10"/>
      <name val="Arial"/>
      <family val="0"/>
    </font>
    <font>
      <sz val="8"/>
      <name val="Arial"/>
      <family val="0"/>
    </font>
    <font>
      <sz val="8"/>
      <name val="Tahoma"/>
      <family val="0"/>
    </font>
    <font>
      <b/>
      <sz val="8"/>
      <name val="Tahoma"/>
      <family val="0"/>
    </font>
    <font>
      <b/>
      <sz val="12"/>
      <name val="Arial"/>
      <family val="2"/>
    </font>
    <font>
      <i/>
      <sz val="10"/>
      <name val="Arial"/>
      <family val="2"/>
    </font>
    <font>
      <sz val="10"/>
      <color indexed="10"/>
      <name val="Arial"/>
      <family val="0"/>
    </font>
    <font>
      <b/>
      <sz val="10"/>
      <color indexed="9"/>
      <name val="Arial"/>
      <family val="2"/>
    </font>
    <font>
      <u val="single"/>
      <sz val="10"/>
      <name val="Arial"/>
      <family val="2"/>
    </font>
    <font>
      <b/>
      <sz val="14"/>
      <name val="Arial"/>
      <family val="2"/>
    </font>
    <font>
      <sz val="11"/>
      <name val="Arial"/>
      <family val="2"/>
    </font>
    <font>
      <b/>
      <sz val="11"/>
      <name val="Arial"/>
      <family val="2"/>
    </font>
    <font>
      <b/>
      <sz val="10"/>
      <name val="Arial"/>
      <family val="2"/>
    </font>
    <font>
      <sz val="10"/>
      <color indexed="9"/>
      <name val="Arial"/>
      <family val="0"/>
    </font>
    <font>
      <u val="singleAccounting"/>
      <sz val="10"/>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27"/>
        <bgColor indexed="64"/>
      </patternFill>
    </fill>
    <fill>
      <patternFill patternType="solid">
        <fgColor indexed="47"/>
        <bgColor indexed="64"/>
      </patternFill>
    </fill>
    <fill>
      <patternFill patternType="solid">
        <fgColor indexed="12"/>
        <bgColor indexed="64"/>
      </patternFill>
    </fill>
    <fill>
      <patternFill patternType="solid">
        <fgColor indexed="41"/>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6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right/>
      <top style="thin"/>
      <bottom style="thin"/>
    </border>
    <border>
      <left/>
      <right/>
      <top/>
      <bottom style="thin"/>
    </border>
    <border>
      <left/>
      <right/>
      <top/>
      <bottom style="double"/>
    </border>
    <border>
      <left>
        <color indexed="63"/>
      </left>
      <right>
        <color indexed="63"/>
      </right>
      <top style="double"/>
      <bottom style="thin"/>
    </border>
    <border>
      <left style="thin"/>
      <right style="thin"/>
      <top>
        <color indexed="63"/>
      </top>
      <bottom>
        <color indexed="63"/>
      </bottom>
    </border>
    <border>
      <left>
        <color indexed="63"/>
      </left>
      <right style="thin"/>
      <top style="thin"/>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double"/>
    </border>
    <border>
      <left style="thin"/>
      <right>
        <color indexed="63"/>
      </right>
      <top style="thin"/>
      <bottom>
        <color indexed="63"/>
      </bottom>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double"/>
    </border>
    <border>
      <left style="thin"/>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3">
    <xf numFmtId="0" fontId="0" fillId="0" borderId="0" xfId="0" applyAlignment="1">
      <alignment/>
    </xf>
    <xf numFmtId="164" fontId="0" fillId="0" borderId="0" xfId="0" applyNumberFormat="1" applyAlignment="1">
      <alignment/>
    </xf>
    <xf numFmtId="0" fontId="0" fillId="33" borderId="0" xfId="0" applyFill="1" applyAlignment="1">
      <alignment/>
    </xf>
    <xf numFmtId="164" fontId="0" fillId="0" borderId="10" xfId="0" applyNumberFormat="1" applyBorder="1" applyAlignment="1">
      <alignment horizontal="center"/>
    </xf>
    <xf numFmtId="164" fontId="0" fillId="33" borderId="10" xfId="0" applyNumberFormat="1" applyFill="1" applyBorder="1" applyAlignment="1">
      <alignment horizontal="center"/>
    </xf>
    <xf numFmtId="164" fontId="0" fillId="0" borderId="10" xfId="0" applyNumberFormat="1" applyBorder="1" applyAlignment="1">
      <alignment/>
    </xf>
    <xf numFmtId="164" fontId="0" fillId="33" borderId="10" xfId="0" applyNumberFormat="1" applyFill="1" applyBorder="1" applyAlignment="1">
      <alignment/>
    </xf>
    <xf numFmtId="0" fontId="4" fillId="0" borderId="0" xfId="0" applyFont="1" applyAlignment="1">
      <alignment/>
    </xf>
    <xf numFmtId="0" fontId="0" fillId="0" borderId="0" xfId="0" applyFill="1" applyAlignment="1">
      <alignment/>
    </xf>
    <xf numFmtId="0" fontId="5" fillId="0" borderId="0" xfId="0" applyFont="1" applyAlignment="1">
      <alignment horizontal="right"/>
    </xf>
    <xf numFmtId="0" fontId="0" fillId="34" borderId="0" xfId="0" applyFill="1" applyAlignment="1">
      <alignment/>
    </xf>
    <xf numFmtId="164" fontId="0" fillId="34" borderId="0" xfId="0" applyNumberFormat="1" applyFill="1" applyAlignment="1">
      <alignment/>
    </xf>
    <xf numFmtId="164" fontId="6" fillId="0" borderId="0" xfId="0" applyNumberFormat="1" applyFont="1" applyAlignment="1">
      <alignment/>
    </xf>
    <xf numFmtId="164" fontId="0" fillId="35" borderId="10" xfId="0" applyNumberFormat="1" applyFill="1" applyBorder="1" applyAlignment="1">
      <alignment/>
    </xf>
    <xf numFmtId="164" fontId="0" fillId="0" borderId="10" xfId="0" applyNumberFormat="1" applyFill="1" applyBorder="1" applyAlignment="1">
      <alignment/>
    </xf>
    <xf numFmtId="164" fontId="0" fillId="36" borderId="10" xfId="0" applyNumberFormat="1" applyFill="1" applyBorder="1" applyAlignment="1">
      <alignment/>
    </xf>
    <xf numFmtId="164" fontId="0" fillId="33" borderId="0" xfId="0" applyNumberFormat="1" applyFill="1" applyAlignment="1">
      <alignment/>
    </xf>
    <xf numFmtId="0" fontId="0" fillId="0" borderId="10" xfId="0"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11" xfId="0" applyFill="1" applyBorder="1" applyAlignment="1">
      <alignment/>
    </xf>
    <xf numFmtId="164" fontId="0" fillId="0" borderId="10" xfId="0" applyNumberFormat="1" applyFill="1" applyBorder="1" applyAlignment="1">
      <alignment horizontal="left"/>
    </xf>
    <xf numFmtId="0" fontId="0" fillId="0" borderId="10" xfId="0" applyFill="1" applyBorder="1" applyAlignment="1">
      <alignment/>
    </xf>
    <xf numFmtId="0" fontId="0" fillId="0" borderId="10" xfId="0" applyFill="1" applyBorder="1" applyAlignment="1">
      <alignment horizontal="left" indent="2"/>
    </xf>
    <xf numFmtId="0" fontId="0" fillId="0" borderId="10" xfId="42" applyNumberFormat="1" applyFont="1" applyFill="1" applyBorder="1" applyAlignment="1">
      <alignment horizontal="center"/>
    </xf>
    <xf numFmtId="0" fontId="0" fillId="0" borderId="10" xfId="0" applyBorder="1" applyAlignment="1">
      <alignment horizontal="center"/>
    </xf>
    <xf numFmtId="0" fontId="0" fillId="0" borderId="10" xfId="0" applyBorder="1" applyAlignment="1">
      <alignment horizontal="right"/>
    </xf>
    <xf numFmtId="0" fontId="0" fillId="0" borderId="10" xfId="0" applyBorder="1" applyAlignment="1">
      <alignment horizontal="left"/>
    </xf>
    <xf numFmtId="0" fontId="0" fillId="37" borderId="0" xfId="0" applyFill="1" applyAlignment="1">
      <alignment/>
    </xf>
    <xf numFmtId="175" fontId="0" fillId="0" borderId="10" xfId="0" applyNumberFormat="1" applyBorder="1" applyAlignment="1">
      <alignment/>
    </xf>
    <xf numFmtId="164" fontId="0" fillId="0" borderId="12" xfId="0" applyNumberFormat="1" applyBorder="1" applyAlignment="1">
      <alignment horizontal="center"/>
    </xf>
    <xf numFmtId="0" fontId="10" fillId="0" borderId="10" xfId="0" applyFont="1" applyFill="1" applyBorder="1" applyAlignment="1">
      <alignment horizontal="center" vertical="top" wrapText="1"/>
    </xf>
    <xf numFmtId="14" fontId="10" fillId="0" borderId="10" xfId="0" applyNumberFormat="1" applyFont="1" applyFill="1" applyBorder="1" applyAlignment="1">
      <alignment horizontal="center" vertical="top" wrapText="1"/>
    </xf>
    <xf numFmtId="0" fontId="11" fillId="0" borderId="13" xfId="0" applyFont="1" applyFill="1" applyBorder="1" applyAlignment="1">
      <alignment horizontal="left" vertical="top" wrapText="1"/>
    </xf>
    <xf numFmtId="0" fontId="12" fillId="38" borderId="14" xfId="0" applyFont="1" applyFill="1" applyBorder="1" applyAlignment="1">
      <alignment vertical="top"/>
    </xf>
    <xf numFmtId="0" fontId="12" fillId="38" borderId="14" xfId="0" applyFont="1" applyFill="1" applyBorder="1" applyAlignment="1">
      <alignment horizontal="left" vertical="top"/>
    </xf>
    <xf numFmtId="164" fontId="12" fillId="38" borderId="14" xfId="0" applyNumberFormat="1" applyFont="1" applyFill="1" applyBorder="1" applyAlignment="1">
      <alignment vertical="top"/>
    </xf>
    <xf numFmtId="164" fontId="12" fillId="38" borderId="14" xfId="0" applyNumberFormat="1" applyFont="1" applyFill="1" applyBorder="1" applyAlignment="1">
      <alignment vertical="top" wrapText="1"/>
    </xf>
    <xf numFmtId="0" fontId="0" fillId="0" borderId="0" xfId="0" applyFont="1" applyBorder="1" applyAlignment="1">
      <alignment horizontal="left" vertical="center"/>
    </xf>
    <xf numFmtId="164" fontId="0" fillId="0" borderId="0" xfId="0" applyNumberFormat="1" applyFont="1" applyFill="1" applyBorder="1" applyAlignment="1">
      <alignment horizontal="right" vertical="top"/>
    </xf>
    <xf numFmtId="164" fontId="0" fillId="0" borderId="0" xfId="0" applyNumberFormat="1" applyFont="1" applyFill="1" applyBorder="1" applyAlignment="1">
      <alignment horizontal="right" vertical="top" wrapText="1"/>
    </xf>
    <xf numFmtId="0" fontId="12" fillId="0" borderId="0" xfId="0" applyFont="1" applyBorder="1" applyAlignment="1">
      <alignment horizontal="right" vertical="center"/>
    </xf>
    <xf numFmtId="0" fontId="12" fillId="0" borderId="0" xfId="0" applyFont="1" applyBorder="1" applyAlignment="1">
      <alignment horizontal="left" vertical="center"/>
    </xf>
    <xf numFmtId="164" fontId="12" fillId="0" borderId="0" xfId="0" applyNumberFormat="1" applyFont="1" applyFill="1" applyBorder="1" applyAlignment="1">
      <alignment horizontal="right" vertical="top"/>
    </xf>
    <xf numFmtId="164" fontId="12" fillId="0" borderId="0" xfId="0" applyNumberFormat="1" applyFont="1" applyFill="1" applyBorder="1" applyAlignment="1">
      <alignment horizontal="right" vertical="top" wrapText="1"/>
    </xf>
    <xf numFmtId="0" fontId="0" fillId="0" borderId="0" xfId="0" applyFont="1" applyBorder="1" applyAlignment="1">
      <alignment/>
    </xf>
    <xf numFmtId="164" fontId="12" fillId="38" borderId="14" xfId="0" applyNumberFormat="1" applyFont="1" applyFill="1" applyBorder="1" applyAlignment="1">
      <alignment horizontal="right" vertical="top"/>
    </xf>
    <xf numFmtId="164" fontId="12" fillId="38" borderId="14" xfId="0" applyNumberFormat="1" applyFont="1" applyFill="1" applyBorder="1" applyAlignment="1">
      <alignment horizontal="right" vertical="top" wrapText="1"/>
    </xf>
    <xf numFmtId="0" fontId="0" fillId="0" borderId="0" xfId="57" applyFont="1" applyAlignment="1">
      <alignment horizontal="left" vertical="center"/>
      <protection/>
    </xf>
    <xf numFmtId="164" fontId="0" fillId="0" borderId="0" xfId="44" applyNumberFormat="1" applyFont="1" applyFill="1" applyAlignment="1">
      <alignment horizontal="right" vertical="top"/>
    </xf>
    <xf numFmtId="164" fontId="0" fillId="0" borderId="0" xfId="57" applyNumberFormat="1" applyFont="1" applyFill="1" applyAlignment="1">
      <alignment horizontal="right" vertical="top"/>
      <protection/>
    </xf>
    <xf numFmtId="0" fontId="12" fillId="0" borderId="0" xfId="57" applyFont="1" applyAlignment="1">
      <alignment horizontal="right" vertical="center"/>
      <protection/>
    </xf>
    <xf numFmtId="0" fontId="12" fillId="0" borderId="0" xfId="57" applyFont="1" applyAlignment="1">
      <alignment horizontal="left" vertical="center"/>
      <protection/>
    </xf>
    <xf numFmtId="164" fontId="12" fillId="0" borderId="0" xfId="57" applyNumberFormat="1" applyFont="1" applyFill="1" applyAlignment="1">
      <alignment horizontal="right" vertical="top"/>
      <protection/>
    </xf>
    <xf numFmtId="0" fontId="12" fillId="39" borderId="15" xfId="0" applyFont="1" applyFill="1" applyBorder="1" applyAlignment="1">
      <alignment horizontal="right" vertical="center"/>
    </xf>
    <xf numFmtId="0" fontId="12" fillId="39" borderId="15" xfId="0" applyFont="1" applyFill="1" applyBorder="1" applyAlignment="1">
      <alignment horizontal="left" vertical="center"/>
    </xf>
    <xf numFmtId="164" fontId="12" fillId="39" borderId="15" xfId="0" applyNumberFormat="1" applyFont="1" applyFill="1" applyBorder="1" applyAlignment="1">
      <alignment horizontal="right" vertical="top"/>
    </xf>
    <xf numFmtId="164" fontId="12" fillId="39" borderId="15" xfId="0" applyNumberFormat="1" applyFont="1" applyFill="1" applyBorder="1" applyAlignment="1">
      <alignment horizontal="right" vertical="top" wrapText="1"/>
    </xf>
    <xf numFmtId="0" fontId="12" fillId="39" borderId="0" xfId="0" applyFont="1" applyFill="1" applyBorder="1" applyAlignment="1">
      <alignment horizontal="right" vertical="center"/>
    </xf>
    <xf numFmtId="0" fontId="12" fillId="39" borderId="0" xfId="0" applyFont="1" applyFill="1" applyBorder="1" applyAlignment="1">
      <alignment horizontal="left" vertical="center"/>
    </xf>
    <xf numFmtId="164" fontId="12" fillId="39" borderId="0" xfId="0" applyNumberFormat="1" applyFont="1" applyFill="1" applyBorder="1" applyAlignment="1">
      <alignment horizontal="right" vertical="top"/>
    </xf>
    <xf numFmtId="164" fontId="12" fillId="39" borderId="0" xfId="0" applyNumberFormat="1" applyFont="1" applyFill="1" applyBorder="1" applyAlignment="1">
      <alignment horizontal="right" vertical="top" wrapText="1"/>
    </xf>
    <xf numFmtId="0" fontId="12" fillId="39" borderId="0" xfId="57" applyFont="1" applyFill="1" applyAlignment="1">
      <alignment horizontal="right" vertical="center"/>
      <protection/>
    </xf>
    <xf numFmtId="0" fontId="12" fillId="39" borderId="0" xfId="57" applyFont="1" applyFill="1" applyAlignment="1">
      <alignment horizontal="left" vertical="center"/>
      <protection/>
    </xf>
    <xf numFmtId="164" fontId="12" fillId="39" borderId="0" xfId="57" applyNumberFormat="1" applyFont="1" applyFill="1" applyAlignment="1">
      <alignment horizontal="right" vertical="top"/>
      <protection/>
    </xf>
    <xf numFmtId="164" fontId="12" fillId="39" borderId="14" xfId="0" applyNumberFormat="1" applyFont="1" applyFill="1" applyBorder="1" applyAlignment="1">
      <alignment horizontal="right" vertical="top" wrapText="1"/>
    </xf>
    <xf numFmtId="0" fontId="0" fillId="0" borderId="0" xfId="0" applyFont="1" applyBorder="1" applyAlignment="1">
      <alignment/>
    </xf>
    <xf numFmtId="0" fontId="0" fillId="39" borderId="15" xfId="0" applyFont="1" applyFill="1" applyBorder="1" applyAlignment="1">
      <alignment horizontal="left" vertical="center"/>
    </xf>
    <xf numFmtId="0" fontId="0" fillId="0" borderId="0" xfId="0" applyFont="1" applyBorder="1" applyAlignment="1">
      <alignment vertical="center"/>
    </xf>
    <xf numFmtId="0" fontId="12" fillId="0" borderId="15" xfId="0" applyFont="1" applyFill="1" applyBorder="1" applyAlignment="1">
      <alignment horizontal="right" vertical="center"/>
    </xf>
    <xf numFmtId="0" fontId="0" fillId="0" borderId="15" xfId="0" applyFont="1" applyFill="1" applyBorder="1" applyAlignment="1">
      <alignment horizontal="left" vertical="center"/>
    </xf>
    <xf numFmtId="164" fontId="12" fillId="0" borderId="15" xfId="0" applyNumberFormat="1" applyFont="1" applyFill="1" applyBorder="1" applyAlignment="1">
      <alignment horizontal="right" vertical="top"/>
    </xf>
    <xf numFmtId="0" fontId="0" fillId="0" borderId="0" xfId="0" applyFont="1" applyFill="1" applyBorder="1" applyAlignment="1">
      <alignment horizontal="left" vertical="center"/>
    </xf>
    <xf numFmtId="0" fontId="12" fillId="39" borderId="16" xfId="0" applyFont="1" applyFill="1" applyBorder="1" applyAlignment="1">
      <alignment horizontal="right" vertical="center"/>
    </xf>
    <xf numFmtId="0" fontId="0" fillId="39" borderId="16" xfId="0" applyFont="1" applyFill="1" applyBorder="1" applyAlignment="1">
      <alignment horizontal="left" vertical="center"/>
    </xf>
    <xf numFmtId="3" fontId="12" fillId="39" borderId="16" xfId="0" applyNumberFormat="1" applyFont="1" applyFill="1" applyBorder="1" applyAlignment="1">
      <alignment horizontal="right" vertical="top"/>
    </xf>
    <xf numFmtId="3" fontId="0" fillId="39" borderId="16" xfId="0" applyNumberFormat="1" applyFont="1" applyFill="1" applyBorder="1" applyAlignment="1">
      <alignment horizontal="right" vertical="top" wrapText="1"/>
    </xf>
    <xf numFmtId="3" fontId="12" fillId="39" borderId="16" xfId="0" applyNumberFormat="1" applyFont="1" applyFill="1" applyBorder="1" applyAlignment="1">
      <alignment horizontal="right" vertical="top" wrapText="1"/>
    </xf>
    <xf numFmtId="0" fontId="0" fillId="0" borderId="0" xfId="0" applyFont="1" applyFill="1" applyBorder="1" applyAlignment="1">
      <alignment horizontal="right" vertical="center"/>
    </xf>
    <xf numFmtId="0" fontId="0" fillId="0" borderId="0" xfId="0" applyAlignment="1">
      <alignment horizontal="left"/>
    </xf>
    <xf numFmtId="0" fontId="12" fillId="0" borderId="0" xfId="0" applyFont="1" applyFill="1" applyBorder="1" applyAlignment="1">
      <alignment horizontal="right" vertical="center"/>
    </xf>
    <xf numFmtId="164" fontId="12" fillId="0" borderId="0" xfId="0" applyNumberFormat="1" applyFont="1" applyAlignment="1">
      <alignment/>
    </xf>
    <xf numFmtId="14" fontId="10" fillId="0" borderId="17" xfId="0" applyNumberFormat="1" applyFont="1" applyFill="1" applyBorder="1" applyAlignment="1">
      <alignment horizontal="center" vertical="top" wrapText="1"/>
    </xf>
    <xf numFmtId="0" fontId="11" fillId="33" borderId="13" xfId="0" applyFont="1" applyFill="1" applyBorder="1" applyAlignment="1">
      <alignment horizontal="left" vertical="top" wrapText="1"/>
    </xf>
    <xf numFmtId="0" fontId="7" fillId="40" borderId="0" xfId="0" applyFont="1" applyFill="1" applyAlignment="1">
      <alignment/>
    </xf>
    <xf numFmtId="0" fontId="7" fillId="40" borderId="0" xfId="0" applyFont="1" applyFill="1" applyBorder="1" applyAlignment="1">
      <alignment horizontal="left" vertical="center"/>
    </xf>
    <xf numFmtId="164" fontId="0" fillId="0" borderId="10" xfId="0" applyNumberFormat="1" applyBorder="1" applyAlignment="1" applyProtection="1">
      <alignment/>
      <protection/>
    </xf>
    <xf numFmtId="164" fontId="0" fillId="0" borderId="10" xfId="0" applyNumberFormat="1" applyFill="1" applyBorder="1" applyAlignment="1" applyProtection="1">
      <alignment/>
      <protection/>
    </xf>
    <xf numFmtId="164" fontId="0" fillId="36" borderId="10" xfId="0" applyNumberFormat="1" applyFill="1" applyBorder="1" applyAlignment="1" applyProtection="1">
      <alignment/>
      <protection/>
    </xf>
    <xf numFmtId="164" fontId="0" fillId="35" borderId="10" xfId="0" applyNumberFormat="1" applyFill="1" applyBorder="1" applyAlignment="1" applyProtection="1">
      <alignment/>
      <protection/>
    </xf>
    <xf numFmtId="0" fontId="0" fillId="0" borderId="0" xfId="0" applyAlignment="1" applyProtection="1">
      <alignment/>
      <protection/>
    </xf>
    <xf numFmtId="164" fontId="0" fillId="0" borderId="10" xfId="0" applyNumberFormat="1" applyBorder="1" applyAlignment="1" applyProtection="1">
      <alignment horizontal="center"/>
      <protection/>
    </xf>
    <xf numFmtId="0" fontId="0" fillId="33" borderId="0" xfId="0" applyFill="1" applyAlignment="1" applyProtection="1">
      <alignment/>
      <protection/>
    </xf>
    <xf numFmtId="0" fontId="0" fillId="0" borderId="0" xfId="0" applyBorder="1" applyAlignment="1" applyProtection="1">
      <alignment/>
      <protection/>
    </xf>
    <xf numFmtId="0" fontId="0" fillId="0" borderId="0" xfId="0" applyFill="1" applyAlignment="1" applyProtection="1">
      <alignment/>
      <protection/>
    </xf>
    <xf numFmtId="164" fontId="0" fillId="0" borderId="0" xfId="0" applyNumberFormat="1" applyAlignment="1" applyProtection="1">
      <alignment/>
      <protection/>
    </xf>
    <xf numFmtId="0" fontId="0" fillId="0" borderId="0" xfId="0" applyAlignment="1" applyProtection="1">
      <alignment horizontal="center"/>
      <protection/>
    </xf>
    <xf numFmtId="164" fontId="0" fillId="0" borderId="0" xfId="0" applyNumberFormat="1" applyFill="1" applyAlignment="1" applyProtection="1" quotePrefix="1">
      <alignment/>
      <protection/>
    </xf>
    <xf numFmtId="0" fontId="0" fillId="0" borderId="0" xfId="0" applyBorder="1" applyAlignment="1" applyProtection="1">
      <alignment horizontal="right"/>
      <protection/>
    </xf>
    <xf numFmtId="0" fontId="0" fillId="0" borderId="0" xfId="0" applyFill="1" applyBorder="1" applyAlignment="1" applyProtection="1">
      <alignment horizontal="right"/>
      <protection/>
    </xf>
    <xf numFmtId="0" fontId="12" fillId="0" borderId="0" xfId="0" applyFont="1" applyFill="1" applyBorder="1" applyAlignment="1" applyProtection="1">
      <alignment/>
      <protection/>
    </xf>
    <xf numFmtId="164" fontId="12" fillId="0" borderId="10" xfId="0" applyNumberFormat="1" applyFont="1" applyFill="1" applyBorder="1" applyAlignment="1" applyProtection="1">
      <alignment/>
      <protection/>
    </xf>
    <xf numFmtId="164" fontId="0" fillId="0" borderId="12" xfId="0" applyNumberFormat="1" applyFill="1" applyBorder="1" applyAlignment="1" applyProtection="1">
      <alignment/>
      <protection/>
    </xf>
    <xf numFmtId="164" fontId="0" fillId="0" borderId="13" xfId="0" applyNumberFormat="1" applyFill="1" applyBorder="1" applyAlignment="1" applyProtection="1">
      <alignment/>
      <protection/>
    </xf>
    <xf numFmtId="164" fontId="0" fillId="0" borderId="18" xfId="0" applyNumberFormat="1" applyFill="1" applyBorder="1" applyAlignment="1" applyProtection="1">
      <alignment/>
      <protection/>
    </xf>
    <xf numFmtId="0" fontId="0" fillId="41" borderId="10" xfId="0" applyFill="1" applyBorder="1" applyAlignment="1">
      <alignment/>
    </xf>
    <xf numFmtId="0" fontId="0" fillId="0" borderId="0" xfId="0" applyFont="1" applyBorder="1" applyAlignment="1" applyProtection="1">
      <alignment/>
      <protection/>
    </xf>
    <xf numFmtId="164" fontId="12" fillId="0" borderId="10" xfId="0" applyNumberFormat="1" applyFont="1" applyBorder="1" applyAlignment="1" applyProtection="1">
      <alignment/>
      <protection/>
    </xf>
    <xf numFmtId="0" fontId="0" fillId="35" borderId="19" xfId="0" applyFill="1" applyBorder="1" applyAlignment="1">
      <alignment horizontal="center"/>
    </xf>
    <xf numFmtId="0" fontId="0" fillId="36" borderId="19" xfId="0" applyFill="1" applyBorder="1" applyAlignment="1">
      <alignment horizontal="center"/>
    </xf>
    <xf numFmtId="0" fontId="0" fillId="41" borderId="20" xfId="0" applyFill="1" applyBorder="1" applyAlignment="1">
      <alignment horizontal="center"/>
    </xf>
    <xf numFmtId="0" fontId="7" fillId="0" borderId="0" xfId="0" applyFont="1" applyFill="1" applyAlignment="1" applyProtection="1">
      <alignment horizontal="center"/>
      <protection/>
    </xf>
    <xf numFmtId="0" fontId="0" fillId="33" borderId="10" xfId="0" applyFill="1" applyBorder="1" applyAlignment="1">
      <alignment horizontal="left"/>
    </xf>
    <xf numFmtId="0" fontId="0" fillId="33" borderId="10" xfId="0" applyFill="1" applyBorder="1" applyAlignment="1">
      <alignment horizontal="right"/>
    </xf>
    <xf numFmtId="164" fontId="0" fillId="0" borderId="17" xfId="0" applyNumberFormat="1" applyFont="1" applyFill="1" applyBorder="1" applyAlignment="1">
      <alignment horizontal="right" vertical="top" wrapText="1"/>
    </xf>
    <xf numFmtId="0" fontId="0" fillId="33" borderId="17" xfId="0" applyFill="1" applyBorder="1" applyAlignment="1">
      <alignment/>
    </xf>
    <xf numFmtId="3" fontId="0" fillId="0" borderId="17" xfId="0" applyNumberFormat="1" applyBorder="1" applyAlignment="1">
      <alignment/>
    </xf>
    <xf numFmtId="170" fontId="7" fillId="40" borderId="17" xfId="44" applyNumberFormat="1" applyFont="1" applyFill="1" applyBorder="1" applyAlignment="1">
      <alignment/>
    </xf>
    <xf numFmtId="0" fontId="0" fillId="33" borderId="0" xfId="0" applyFill="1" applyAlignment="1">
      <alignment horizontal="center"/>
    </xf>
    <xf numFmtId="0" fontId="0" fillId="33" borderId="0" xfId="42" applyNumberFormat="1" applyFont="1" applyFill="1" applyBorder="1" applyAlignment="1">
      <alignment horizontal="right" vertical="top"/>
    </xf>
    <xf numFmtId="170" fontId="0" fillId="33" borderId="0" xfId="44" applyNumberFormat="1" applyFont="1" applyFill="1" applyBorder="1" applyAlignment="1">
      <alignment horizontal="right" vertical="top"/>
    </xf>
    <xf numFmtId="164" fontId="0" fillId="33" borderId="0" xfId="0" applyNumberFormat="1" applyFont="1" applyFill="1" applyBorder="1" applyAlignment="1">
      <alignment horizontal="right" vertical="top"/>
    </xf>
    <xf numFmtId="164" fontId="0" fillId="0" borderId="21" xfId="0" applyNumberFormat="1" applyBorder="1" applyAlignment="1">
      <alignment/>
    </xf>
    <xf numFmtId="164" fontId="0" fillId="0" borderId="21" xfId="0" applyNumberFormat="1" applyFill="1" applyBorder="1" applyAlignment="1">
      <alignment/>
    </xf>
    <xf numFmtId="164" fontId="0" fillId="0" borderId="0" xfId="0" applyNumberFormat="1" applyFill="1" applyAlignment="1">
      <alignment/>
    </xf>
    <xf numFmtId="0" fontId="0" fillId="35" borderId="10" xfId="0" applyFill="1" applyBorder="1" applyAlignment="1">
      <alignment/>
    </xf>
    <xf numFmtId="0" fontId="0" fillId="36" borderId="10" xfId="0" applyFill="1" applyBorder="1" applyAlignment="1">
      <alignment/>
    </xf>
    <xf numFmtId="164" fontId="0" fillId="0" borderId="10" xfId="0" applyNumberFormat="1" applyFont="1" applyFill="1" applyBorder="1" applyAlignment="1">
      <alignment/>
    </xf>
    <xf numFmtId="164" fontId="0" fillId="41" borderId="10" xfId="0" applyNumberFormat="1" applyFill="1" applyBorder="1" applyAlignment="1" applyProtection="1">
      <alignment/>
      <protection/>
    </xf>
    <xf numFmtId="164" fontId="0" fillId="0" borderId="0" xfId="0" applyNumberFormat="1" applyFill="1" applyAlignment="1" applyProtection="1">
      <alignment/>
      <protection/>
    </xf>
    <xf numFmtId="0" fontId="0" fillId="41" borderId="0" xfId="0" applyFill="1" applyBorder="1" applyAlignment="1" applyProtection="1">
      <alignment horizontal="right"/>
      <protection/>
    </xf>
    <xf numFmtId="0" fontId="13" fillId="42" borderId="0" xfId="0" applyFont="1" applyFill="1" applyAlignment="1" applyProtection="1">
      <alignment/>
      <protection/>
    </xf>
    <xf numFmtId="0" fontId="0" fillId="0" borderId="17" xfId="0" applyBorder="1" applyAlignment="1">
      <alignment/>
    </xf>
    <xf numFmtId="164" fontId="0" fillId="0" borderId="17" xfId="0" applyNumberFormat="1" applyBorder="1" applyAlignment="1">
      <alignment/>
    </xf>
    <xf numFmtId="14" fontId="10" fillId="0" borderId="12" xfId="0" applyNumberFormat="1" applyFont="1" applyFill="1" applyBorder="1" applyAlignment="1">
      <alignment horizontal="center" vertical="top" wrapText="1"/>
    </xf>
    <xf numFmtId="164" fontId="0" fillId="0" borderId="17" xfId="0" applyNumberFormat="1" applyFont="1" applyFill="1" applyBorder="1" applyAlignment="1">
      <alignment horizontal="right" vertical="top"/>
    </xf>
    <xf numFmtId="164" fontId="0" fillId="0" borderId="22" xfId="0" applyNumberFormat="1" applyBorder="1" applyAlignment="1">
      <alignment/>
    </xf>
    <xf numFmtId="0" fontId="0" fillId="0" borderId="10" xfId="0" applyBorder="1" applyAlignment="1">
      <alignment horizontal="center" wrapText="1"/>
    </xf>
    <xf numFmtId="176" fontId="0" fillId="0" borderId="22" xfId="0" applyNumberFormat="1" applyBorder="1" applyAlignment="1">
      <alignment/>
    </xf>
    <xf numFmtId="176" fontId="0" fillId="0" borderId="10" xfId="0" applyNumberFormat="1" applyBorder="1" applyAlignment="1">
      <alignment horizontal="right"/>
    </xf>
    <xf numFmtId="0" fontId="0" fillId="33" borderId="10" xfId="0" applyFill="1" applyBorder="1" applyAlignment="1">
      <alignment horizontal="center"/>
    </xf>
    <xf numFmtId="170" fontId="0" fillId="33" borderId="0" xfId="44" applyNumberFormat="1" applyFont="1" applyFill="1" applyAlignment="1">
      <alignment/>
    </xf>
    <xf numFmtId="44" fontId="0" fillId="0" borderId="23" xfId="0" applyNumberFormat="1" applyBorder="1" applyAlignment="1">
      <alignment/>
    </xf>
    <xf numFmtId="44" fontId="0" fillId="0" borderId="17" xfId="0" applyNumberFormat="1" applyBorder="1" applyAlignment="1">
      <alignment/>
    </xf>
    <xf numFmtId="44" fontId="0" fillId="0" borderId="24" xfId="0" applyNumberFormat="1" applyBorder="1" applyAlignment="1">
      <alignment/>
    </xf>
    <xf numFmtId="44" fontId="14" fillId="0" borderId="17" xfId="0" applyNumberFormat="1" applyFont="1" applyBorder="1" applyAlignment="1">
      <alignment/>
    </xf>
    <xf numFmtId="176" fontId="0" fillId="0" borderId="23" xfId="0" applyNumberFormat="1" applyBorder="1" applyAlignment="1">
      <alignment/>
    </xf>
    <xf numFmtId="176" fontId="0" fillId="0" borderId="17" xfId="0" applyNumberFormat="1" applyBorder="1" applyAlignment="1">
      <alignment/>
    </xf>
    <xf numFmtId="0" fontId="0" fillId="0" borderId="24" xfId="0" applyBorder="1" applyAlignment="1">
      <alignment/>
    </xf>
    <xf numFmtId="179" fontId="0" fillId="0" borderId="24" xfId="60" applyNumberFormat="1" applyFont="1" applyBorder="1" applyAlignment="1">
      <alignment/>
    </xf>
    <xf numFmtId="164" fontId="0" fillId="0" borderId="23" xfId="0" applyNumberFormat="1" applyBorder="1" applyAlignment="1">
      <alignment/>
    </xf>
    <xf numFmtId="0" fontId="0" fillId="36" borderId="0" xfId="0" applyFill="1" applyAlignment="1">
      <alignment/>
    </xf>
    <xf numFmtId="0" fontId="0" fillId="35" borderId="0" xfId="0" applyFill="1" applyAlignment="1">
      <alignment/>
    </xf>
    <xf numFmtId="0" fontId="0" fillId="41" borderId="0" xfId="0" applyFill="1" applyAlignment="1">
      <alignment/>
    </xf>
    <xf numFmtId="164" fontId="0" fillId="41" borderId="10" xfId="0" applyNumberFormat="1" applyFill="1" applyBorder="1" applyAlignment="1">
      <alignment/>
    </xf>
    <xf numFmtId="0" fontId="7" fillId="43" borderId="25" xfId="0" applyFont="1" applyFill="1" applyBorder="1" applyAlignment="1">
      <alignment horizontal="center"/>
    </xf>
    <xf numFmtId="164" fontId="0" fillId="39" borderId="19" xfId="0" applyNumberFormat="1" applyFont="1" applyFill="1" applyBorder="1" applyAlignment="1">
      <alignment horizontal="center"/>
    </xf>
    <xf numFmtId="164" fontId="0" fillId="39" borderId="10" xfId="0" applyNumberFormat="1" applyFont="1" applyFill="1" applyBorder="1" applyAlignment="1">
      <alignment/>
    </xf>
    <xf numFmtId="0" fontId="0" fillId="39" borderId="10" xfId="0" applyFont="1" applyFill="1" applyBorder="1" applyAlignment="1">
      <alignment/>
    </xf>
    <xf numFmtId="0" fontId="5" fillId="0" borderId="10" xfId="0" applyFont="1" applyBorder="1" applyAlignment="1">
      <alignment horizontal="left"/>
    </xf>
    <xf numFmtId="164" fontId="5" fillId="0" borderId="10" xfId="0" applyNumberFormat="1" applyFont="1" applyBorder="1" applyAlignment="1">
      <alignment/>
    </xf>
    <xf numFmtId="0" fontId="0" fillId="0" borderId="10" xfId="0" applyFont="1" applyFill="1" applyBorder="1" applyAlignment="1">
      <alignment horizontal="left" vertical="top"/>
    </xf>
    <xf numFmtId="164" fontId="0" fillId="0" borderId="21" xfId="0" applyNumberFormat="1" applyBorder="1" applyAlignment="1">
      <alignment horizontal="center"/>
    </xf>
    <xf numFmtId="0" fontId="0" fillId="0" borderId="26" xfId="0" applyBorder="1" applyAlignment="1">
      <alignment horizontal="center"/>
    </xf>
    <xf numFmtId="0" fontId="0" fillId="0" borderId="26" xfId="0" applyBorder="1" applyAlignment="1">
      <alignment/>
    </xf>
    <xf numFmtId="164" fontId="0" fillId="0" borderId="27" xfId="0" applyNumberFormat="1" applyBorder="1" applyAlignment="1">
      <alignment/>
    </xf>
    <xf numFmtId="0" fontId="0" fillId="0" borderId="28" xfId="0" applyBorder="1" applyAlignment="1">
      <alignment/>
    </xf>
    <xf numFmtId="0" fontId="0" fillId="0" borderId="29" xfId="0" applyBorder="1" applyAlignment="1">
      <alignment/>
    </xf>
    <xf numFmtId="0" fontId="0" fillId="33" borderId="10" xfId="0" applyFill="1" applyBorder="1" applyAlignment="1">
      <alignment/>
    </xf>
    <xf numFmtId="44" fontId="0" fillId="33" borderId="23" xfId="0" applyNumberFormat="1" applyFill="1" applyBorder="1" applyAlignment="1">
      <alignment/>
    </xf>
    <xf numFmtId="44" fontId="0" fillId="33" borderId="17" xfId="0" applyNumberFormat="1" applyFill="1" applyBorder="1" applyAlignment="1">
      <alignment/>
    </xf>
    <xf numFmtId="44" fontId="0" fillId="33" borderId="24" xfId="0" applyNumberFormat="1" applyFill="1" applyBorder="1" applyAlignment="1">
      <alignment/>
    </xf>
    <xf numFmtId="44" fontId="14" fillId="33" borderId="17" xfId="0" applyNumberFormat="1" applyFont="1" applyFill="1" applyBorder="1" applyAlignment="1">
      <alignment/>
    </xf>
    <xf numFmtId="44" fontId="0" fillId="0" borderId="22" xfId="0" applyNumberFormat="1" applyBorder="1" applyAlignment="1">
      <alignment/>
    </xf>
    <xf numFmtId="0" fontId="0" fillId="33" borderId="0" xfId="0" applyFont="1" applyFill="1" applyAlignment="1">
      <alignment/>
    </xf>
    <xf numFmtId="176" fontId="0" fillId="33" borderId="23" xfId="0" applyNumberFormat="1" applyFill="1" applyBorder="1" applyAlignment="1">
      <alignment/>
    </xf>
    <xf numFmtId="176" fontId="0" fillId="33" borderId="17" xfId="0" applyNumberFormat="1" applyFill="1" applyBorder="1" applyAlignment="1">
      <alignment/>
    </xf>
    <xf numFmtId="176" fontId="0" fillId="33" borderId="10" xfId="0" applyNumberFormat="1" applyFill="1" applyBorder="1" applyAlignment="1">
      <alignment horizontal="right"/>
    </xf>
    <xf numFmtId="0" fontId="0" fillId="33" borderId="24" xfId="0" applyFill="1" applyBorder="1" applyAlignment="1">
      <alignment/>
    </xf>
    <xf numFmtId="179" fontId="0" fillId="33" borderId="24" xfId="60" applyNumberFormat="1" applyFont="1" applyFill="1" applyBorder="1" applyAlignment="1">
      <alignment/>
    </xf>
    <xf numFmtId="164" fontId="0" fillId="33" borderId="23" xfId="0" applyNumberFormat="1" applyFill="1" applyBorder="1" applyAlignment="1">
      <alignment/>
    </xf>
    <xf numFmtId="164" fontId="0" fillId="33" borderId="17" xfId="0" applyNumberFormat="1" applyFill="1" applyBorder="1" applyAlignment="1">
      <alignment/>
    </xf>
    <xf numFmtId="44" fontId="0" fillId="0" borderId="30" xfId="0" applyNumberFormat="1" applyBorder="1" applyAlignment="1">
      <alignment/>
    </xf>
    <xf numFmtId="44" fontId="0" fillId="0" borderId="31" xfId="0" applyNumberFormat="1" applyBorder="1" applyAlignment="1">
      <alignment/>
    </xf>
    <xf numFmtId="0" fontId="0" fillId="0" borderId="32" xfId="0" applyBorder="1" applyAlignment="1">
      <alignment horizontal="center" wrapText="1"/>
    </xf>
    <xf numFmtId="0" fontId="0" fillId="0" borderId="26" xfId="0" applyBorder="1" applyAlignment="1">
      <alignment horizontal="center" wrapText="1"/>
    </xf>
    <xf numFmtId="44" fontId="0" fillId="0" borderId="33" xfId="0" applyNumberFormat="1" applyBorder="1" applyAlignment="1">
      <alignment/>
    </xf>
    <xf numFmtId="44" fontId="0" fillId="0" borderId="34" xfId="0" applyNumberFormat="1" applyBorder="1" applyAlignment="1">
      <alignment/>
    </xf>
    <xf numFmtId="44" fontId="0" fillId="0" borderId="35" xfId="0" applyNumberFormat="1" applyBorder="1" applyAlignment="1">
      <alignment/>
    </xf>
    <xf numFmtId="44" fontId="0" fillId="0" borderId="36" xfId="0" applyNumberFormat="1" applyBorder="1" applyAlignment="1">
      <alignment/>
    </xf>
    <xf numFmtId="44" fontId="0" fillId="0" borderId="37" xfId="0" applyNumberFormat="1" applyBorder="1" applyAlignment="1">
      <alignment/>
    </xf>
    <xf numFmtId="44" fontId="0" fillId="0" borderId="38" xfId="0" applyNumberFormat="1" applyBorder="1" applyAlignment="1">
      <alignment/>
    </xf>
    <xf numFmtId="176" fontId="0" fillId="0" borderId="35" xfId="0" applyNumberFormat="1" applyBorder="1" applyAlignment="1">
      <alignment/>
    </xf>
    <xf numFmtId="176" fontId="0" fillId="0" borderId="36" xfId="0" applyNumberFormat="1" applyBorder="1" applyAlignment="1">
      <alignment/>
    </xf>
    <xf numFmtId="164" fontId="0" fillId="0" borderId="35" xfId="0" applyNumberFormat="1" applyBorder="1" applyAlignment="1">
      <alignment/>
    </xf>
    <xf numFmtId="164" fontId="0" fillId="0" borderId="36" xfId="0" applyNumberFormat="1" applyBorder="1" applyAlignment="1">
      <alignment/>
    </xf>
    <xf numFmtId="44" fontId="0" fillId="0" borderId="35" xfId="0" applyNumberFormat="1" applyFill="1" applyBorder="1" applyAlignment="1">
      <alignment/>
    </xf>
    <xf numFmtId="44" fontId="0" fillId="0" borderId="22" xfId="0" applyNumberFormat="1" applyFill="1" applyBorder="1" applyAlignment="1">
      <alignment/>
    </xf>
    <xf numFmtId="44" fontId="0" fillId="0" borderId="36" xfId="0" applyNumberFormat="1" applyFill="1" applyBorder="1" applyAlignment="1">
      <alignment/>
    </xf>
    <xf numFmtId="0" fontId="0" fillId="39" borderId="0" xfId="0" applyFill="1" applyAlignment="1">
      <alignment/>
    </xf>
    <xf numFmtId="0" fontId="5" fillId="0" borderId="0" xfId="0" applyFont="1" applyAlignment="1">
      <alignment/>
    </xf>
    <xf numFmtId="164" fontId="0" fillId="0" borderId="10" xfId="0" applyNumberFormat="1" applyBorder="1" applyAlignment="1">
      <alignment horizontal="center"/>
    </xf>
    <xf numFmtId="164" fontId="0" fillId="0" borderId="12" xfId="0" applyNumberFormat="1" applyBorder="1" applyAlignment="1">
      <alignment horizontal="center"/>
    </xf>
    <xf numFmtId="0" fontId="0" fillId="37" borderId="0" xfId="0" applyFill="1" applyAlignment="1">
      <alignment horizontal="center"/>
    </xf>
    <xf numFmtId="0" fontId="7" fillId="43" borderId="10" xfId="0" applyFont="1" applyFill="1" applyBorder="1" applyAlignment="1">
      <alignment horizontal="center"/>
    </xf>
    <xf numFmtId="0" fontId="0" fillId="0" borderId="0" xfId="0" applyAlignment="1" applyProtection="1">
      <alignment horizontal="center"/>
      <protection/>
    </xf>
    <xf numFmtId="164" fontId="13" fillId="42" borderId="12" xfId="0" applyNumberFormat="1" applyFont="1" applyFill="1" applyBorder="1" applyAlignment="1" applyProtection="1">
      <alignment horizontal="center"/>
      <protection/>
    </xf>
    <xf numFmtId="164" fontId="13" fillId="42" borderId="13" xfId="0" applyNumberFormat="1" applyFont="1" applyFill="1" applyBorder="1" applyAlignment="1" applyProtection="1">
      <alignment horizontal="center"/>
      <protection/>
    </xf>
    <xf numFmtId="164" fontId="13" fillId="42" borderId="18" xfId="0" applyNumberFormat="1" applyFont="1" applyFill="1" applyBorder="1" applyAlignment="1" applyProtection="1">
      <alignment horizontal="center"/>
      <protection/>
    </xf>
    <xf numFmtId="164" fontId="0" fillId="33" borderId="12" xfId="0" applyNumberFormat="1" applyFill="1" applyBorder="1" applyAlignment="1" applyProtection="1">
      <alignment horizontal="center"/>
      <protection/>
    </xf>
    <xf numFmtId="164" fontId="0" fillId="33" borderId="13" xfId="0" applyNumberFormat="1" applyFill="1" applyBorder="1" applyAlignment="1" applyProtection="1">
      <alignment horizontal="center"/>
      <protection/>
    </xf>
    <xf numFmtId="164" fontId="0" fillId="33" borderId="18" xfId="0" applyNumberFormat="1" applyFill="1" applyBorder="1" applyAlignment="1" applyProtection="1">
      <alignment horizontal="center"/>
      <protection/>
    </xf>
    <xf numFmtId="164" fontId="0" fillId="0" borderId="10" xfId="0" applyNumberFormat="1" applyBorder="1" applyAlignment="1" applyProtection="1">
      <alignment horizontal="center"/>
      <protection/>
    </xf>
    <xf numFmtId="0" fontId="7" fillId="44" borderId="0" xfId="0" applyFont="1" applyFill="1" applyAlignment="1" applyProtection="1">
      <alignment horizontal="center"/>
      <protection/>
    </xf>
    <xf numFmtId="0" fontId="0" fillId="33" borderId="12" xfId="0" applyFill="1" applyBorder="1" applyAlignment="1">
      <alignment horizontal="center"/>
    </xf>
    <xf numFmtId="0" fontId="0" fillId="33" borderId="13" xfId="0" applyFill="1" applyBorder="1" applyAlignment="1">
      <alignment horizontal="center"/>
    </xf>
    <xf numFmtId="0" fontId="0" fillId="33" borderId="18" xfId="0" applyFill="1" applyBorder="1" applyAlignment="1">
      <alignment horizontal="center"/>
    </xf>
    <xf numFmtId="0" fontId="13" fillId="45" borderId="14" xfId="0" applyFont="1" applyFill="1" applyBorder="1" applyAlignment="1">
      <alignment horizontal="center"/>
    </xf>
    <xf numFmtId="0" fontId="0" fillId="33" borderId="10" xfId="0" applyFill="1" applyBorder="1" applyAlignment="1">
      <alignment horizontal="center"/>
    </xf>
    <xf numFmtId="164" fontId="0" fillId="0" borderId="13" xfId="0" applyNumberFormat="1" applyBorder="1" applyAlignment="1">
      <alignment horizontal="center"/>
    </xf>
    <xf numFmtId="164" fontId="0" fillId="0" borderId="18" xfId="0" applyNumberFormat="1" applyBorder="1" applyAlignment="1">
      <alignment horizontal="center"/>
    </xf>
    <xf numFmtId="0" fontId="0" fillId="33" borderId="0" xfId="0" applyFill="1" applyAlignment="1">
      <alignment horizontal="center"/>
    </xf>
    <xf numFmtId="0" fontId="7" fillId="43" borderId="39" xfId="0" applyFont="1" applyFill="1" applyBorder="1" applyAlignment="1">
      <alignment horizontal="center"/>
    </xf>
    <xf numFmtId="0" fontId="7" fillId="43" borderId="40" xfId="0" applyFont="1" applyFill="1" applyBorder="1" applyAlignment="1">
      <alignment horizontal="center"/>
    </xf>
    <xf numFmtId="0" fontId="7" fillId="43" borderId="41" xfId="0" applyFont="1" applyFill="1" applyBorder="1" applyAlignment="1">
      <alignment horizontal="center"/>
    </xf>
    <xf numFmtId="0" fontId="11" fillId="33" borderId="13" xfId="0" applyFont="1" applyFill="1" applyBorder="1" applyAlignment="1">
      <alignment horizontal="left" vertical="top"/>
    </xf>
    <xf numFmtId="0" fontId="11" fillId="33" borderId="13" xfId="0" applyFont="1" applyFill="1" applyBorder="1" applyAlignment="1">
      <alignment horizontal="left" vertical="top" wrapText="1"/>
    </xf>
    <xf numFmtId="0" fontId="11" fillId="0" borderId="13" xfId="0" applyFont="1" applyFill="1" applyBorder="1" applyAlignment="1">
      <alignment horizontal="left" vertical="top"/>
    </xf>
    <xf numFmtId="0" fontId="9" fillId="0" borderId="14" xfId="0" applyFont="1" applyFill="1" applyBorder="1" applyAlignment="1">
      <alignment horizontal="center" vertical="top" wrapText="1"/>
    </xf>
    <xf numFmtId="0" fontId="11" fillId="0" borderId="13" xfId="0" applyFont="1" applyFill="1" applyBorder="1" applyAlignment="1">
      <alignment horizontal="left" vertical="top"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0" fontId="1" fillId="0" borderId="18" xfId="0" applyFont="1" applyFill="1" applyBorder="1" applyAlignment="1">
      <alignment horizontal="left" wrapText="1"/>
    </xf>
    <xf numFmtId="0" fontId="0" fillId="0" borderId="10" xfId="0" applyBorder="1" applyAlignment="1">
      <alignment horizontal="center"/>
    </xf>
    <xf numFmtId="0" fontId="1" fillId="0" borderId="10" xfId="0" applyFont="1" applyFill="1" applyBorder="1" applyAlignment="1">
      <alignment horizontal="left" wrapText="1"/>
    </xf>
    <xf numFmtId="0" fontId="0" fillId="33" borderId="10" xfId="0" applyFont="1" applyFill="1" applyBorder="1" applyAlignment="1">
      <alignment horizontal="center"/>
    </xf>
    <xf numFmtId="0" fontId="0" fillId="39" borderId="39" xfId="0" applyFill="1" applyBorder="1" applyAlignment="1">
      <alignment horizontal="center"/>
    </xf>
    <xf numFmtId="0" fontId="0" fillId="39" borderId="40" xfId="0" applyFill="1" applyBorder="1" applyAlignment="1">
      <alignment horizontal="center"/>
    </xf>
    <xf numFmtId="0" fontId="0" fillId="39" borderId="41" xfId="0" applyFill="1" applyBorder="1" applyAlignment="1">
      <alignment horizontal="center"/>
    </xf>
    <xf numFmtId="179" fontId="0" fillId="39" borderId="42" xfId="60" applyNumberFormat="1" applyFont="1" applyFill="1" applyBorder="1" applyAlignment="1">
      <alignment horizontal="center"/>
    </xf>
    <xf numFmtId="179" fontId="0" fillId="39" borderId="43" xfId="60" applyNumberFormat="1" applyFont="1" applyFill="1" applyBorder="1" applyAlignment="1">
      <alignment horizontal="center"/>
    </xf>
    <xf numFmtId="179" fontId="0" fillId="39" borderId="44" xfId="60" applyNumberFormat="1" applyFont="1" applyFill="1" applyBorder="1" applyAlignment="1">
      <alignment horizontal="center"/>
    </xf>
    <xf numFmtId="0" fontId="7" fillId="33" borderId="1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80"/>
  <sheetViews>
    <sheetView zoomScalePageLayoutView="0" workbookViewId="0" topLeftCell="C1">
      <selection activeCell="G28" sqref="G28"/>
    </sheetView>
  </sheetViews>
  <sheetFormatPr defaultColWidth="9.140625" defaultRowHeight="12.75"/>
  <cols>
    <col min="1" max="1" width="15.8515625" style="0" customWidth="1"/>
    <col min="2" max="2" width="8.28125" style="1" customWidth="1"/>
    <col min="3" max="4" width="9.28125" style="1" bestFit="1" customWidth="1"/>
    <col min="5" max="5" width="58.8515625" style="0" customWidth="1"/>
    <col min="7" max="7" width="29.00390625" style="0" bestFit="1" customWidth="1"/>
    <col min="8" max="8" width="9.421875" style="0" bestFit="1" customWidth="1"/>
    <col min="9" max="9" width="9.8515625" style="0" bestFit="1" customWidth="1"/>
    <col min="10" max="10" width="9.7109375" style="0" bestFit="1" customWidth="1"/>
  </cols>
  <sheetData>
    <row r="1" spans="1:10" ht="15.75">
      <c r="A1" s="7" t="s">
        <v>496</v>
      </c>
      <c r="G1" s="204" t="s">
        <v>46</v>
      </c>
      <c r="H1" s="204"/>
      <c r="I1" s="204"/>
      <c r="J1" s="204"/>
    </row>
    <row r="2" spans="7:10" ht="12.75">
      <c r="G2" s="17" t="s">
        <v>41</v>
      </c>
      <c r="H2" s="25">
        <v>1</v>
      </c>
      <c r="I2" s="25">
        <v>2</v>
      </c>
      <c r="J2" s="25">
        <v>3</v>
      </c>
    </row>
    <row r="3" spans="2:10" ht="12.75">
      <c r="B3" s="12"/>
      <c r="G3" s="125" t="s">
        <v>44</v>
      </c>
      <c r="H3" s="5">
        <f>B62</f>
        <v>114341</v>
      </c>
      <c r="I3" s="5">
        <f>C63</f>
        <v>145841</v>
      </c>
      <c r="J3" s="5">
        <f>D64</f>
        <v>157468</v>
      </c>
    </row>
    <row r="4" spans="7:10" ht="12.75">
      <c r="G4" s="158" t="s">
        <v>42</v>
      </c>
      <c r="H4" s="5">
        <f>B66-H5-H6</f>
        <v>153669</v>
      </c>
      <c r="I4" s="5">
        <f>C67-I5-I6</f>
        <v>89569</v>
      </c>
      <c r="J4" s="5">
        <f>D68</f>
        <v>41464</v>
      </c>
    </row>
    <row r="5" spans="7:10" ht="12.75">
      <c r="G5" s="126" t="s">
        <v>43</v>
      </c>
      <c r="H5" s="14">
        <f>B29+B41</f>
        <v>31500</v>
      </c>
      <c r="I5" s="5">
        <v>0</v>
      </c>
      <c r="J5" s="5">
        <v>0</v>
      </c>
    </row>
    <row r="6" spans="1:10" ht="13.5" thickBot="1">
      <c r="A6" t="s">
        <v>441</v>
      </c>
      <c r="G6" s="105" t="s">
        <v>454</v>
      </c>
      <c r="H6" s="14">
        <f>B37</f>
        <v>40627</v>
      </c>
      <c r="I6" s="5">
        <f>C38</f>
        <v>40627</v>
      </c>
      <c r="J6" s="5">
        <v>0</v>
      </c>
    </row>
    <row r="7" spans="1:10" ht="12.75">
      <c r="A7" t="s">
        <v>442</v>
      </c>
      <c r="E7" s="155" t="s">
        <v>452</v>
      </c>
      <c r="G7" s="22" t="s">
        <v>48</v>
      </c>
      <c r="H7" s="5">
        <f>SUM(H3:H6)</f>
        <v>340137</v>
      </c>
      <c r="I7" s="5">
        <f>SUM(I3:I6)</f>
        <v>276037</v>
      </c>
      <c r="J7" s="5">
        <f>SUM(J3:J5)</f>
        <v>198932</v>
      </c>
    </row>
    <row r="8" spans="1:10" ht="12.75">
      <c r="A8" t="s">
        <v>443</v>
      </c>
      <c r="E8" s="156" t="s">
        <v>42</v>
      </c>
      <c r="G8" s="20"/>
      <c r="H8" s="18"/>
      <c r="I8" s="18"/>
      <c r="J8" s="18"/>
    </row>
    <row r="9" spans="5:10" ht="12.75">
      <c r="E9" s="108" t="s">
        <v>23</v>
      </c>
      <c r="G9" s="19"/>
      <c r="H9" s="18"/>
      <c r="I9" s="18"/>
      <c r="J9" s="18"/>
    </row>
    <row r="10" spans="2:10" ht="12.75">
      <c r="B10" s="201" t="s">
        <v>4</v>
      </c>
      <c r="C10" s="201"/>
      <c r="D10" s="202"/>
      <c r="E10" s="109" t="s">
        <v>451</v>
      </c>
      <c r="G10" s="19"/>
      <c r="H10" s="18"/>
      <c r="I10" s="18"/>
      <c r="J10" s="18"/>
    </row>
    <row r="11" spans="2:10" ht="13.5" thickBot="1">
      <c r="B11" s="3" t="s">
        <v>1</v>
      </c>
      <c r="C11" s="3" t="s">
        <v>2</v>
      </c>
      <c r="D11" s="30" t="s">
        <v>3</v>
      </c>
      <c r="E11" s="110" t="s">
        <v>454</v>
      </c>
      <c r="G11" s="204" t="s">
        <v>54</v>
      </c>
      <c r="H11" s="204"/>
      <c r="I11" s="204"/>
      <c r="J11" s="204"/>
    </row>
    <row r="12" spans="1:10" ht="12.75">
      <c r="A12" s="2" t="s">
        <v>0</v>
      </c>
      <c r="B12" s="4"/>
      <c r="C12" s="4"/>
      <c r="D12" s="4"/>
      <c r="G12" s="21" t="str">
        <f>G2</f>
        <v>Scenario</v>
      </c>
      <c r="H12" s="24">
        <f>H2</f>
        <v>1</v>
      </c>
      <c r="I12" s="24">
        <f>I2</f>
        <v>2</v>
      </c>
      <c r="J12" s="24">
        <f>J2</f>
        <v>3</v>
      </c>
    </row>
    <row r="13" spans="2:10" ht="12.75">
      <c r="B13" s="157">
        <f>55000+10000</f>
        <v>65000</v>
      </c>
      <c r="C13" s="5"/>
      <c r="D13" s="5"/>
      <c r="E13" s="199" t="s">
        <v>494</v>
      </c>
      <c r="G13" s="21" t="s">
        <v>55</v>
      </c>
      <c r="H13" s="5">
        <f>H7</f>
        <v>340137</v>
      </c>
      <c r="I13" s="5">
        <f>I7</f>
        <v>276037</v>
      </c>
      <c r="J13" s="5">
        <f>J7</f>
        <v>198932</v>
      </c>
    </row>
    <row r="14" spans="2:10" ht="12.75">
      <c r="B14" s="5"/>
      <c r="C14" s="157">
        <f>10000+10000</f>
        <v>20000</v>
      </c>
      <c r="D14" s="5"/>
      <c r="E14" s="199" t="s">
        <v>495</v>
      </c>
      <c r="G14" s="22" t="s">
        <v>47</v>
      </c>
      <c r="H14" s="17"/>
      <c r="I14" s="17"/>
      <c r="J14" s="17"/>
    </row>
    <row r="15" spans="2:11" ht="12.75">
      <c r="B15" s="5"/>
      <c r="C15" s="5"/>
      <c r="D15" s="127">
        <v>0</v>
      </c>
      <c r="E15" t="s">
        <v>5</v>
      </c>
      <c r="G15" s="23" t="s">
        <v>0</v>
      </c>
      <c r="H15" s="5">
        <f>B13</f>
        <v>65000</v>
      </c>
      <c r="I15" s="5">
        <f>C14</f>
        <v>20000</v>
      </c>
      <c r="J15" s="5">
        <f>D15</f>
        <v>0</v>
      </c>
      <c r="K15" t="s">
        <v>536</v>
      </c>
    </row>
    <row r="16" spans="1:10" ht="12.75">
      <c r="A16" s="2" t="s">
        <v>6</v>
      </c>
      <c r="B16" s="6"/>
      <c r="C16" s="6"/>
      <c r="D16" s="6"/>
      <c r="G16" s="23" t="s">
        <v>26</v>
      </c>
      <c r="H16" s="5">
        <f>B33</f>
        <v>29000</v>
      </c>
      <c r="I16" s="5">
        <f>C34</f>
        <v>29000</v>
      </c>
      <c r="J16" s="5">
        <f>D35</f>
        <v>0</v>
      </c>
    </row>
    <row r="17" spans="2:10" ht="12.75">
      <c r="B17" s="157">
        <f>27689+3000+1000+275</f>
        <v>31964</v>
      </c>
      <c r="C17" s="5"/>
      <c r="D17" s="5"/>
      <c r="E17" s="199" t="s">
        <v>448</v>
      </c>
      <c r="G17" s="23" t="str">
        <f>A40</f>
        <v>Sidewalks Snow Removal</v>
      </c>
      <c r="H17" s="5">
        <f>B41</f>
        <v>6000</v>
      </c>
      <c r="I17" s="5">
        <f>C42</f>
        <v>6000</v>
      </c>
      <c r="J17" s="5">
        <f>D43</f>
        <v>6000</v>
      </c>
    </row>
    <row r="18" spans="2:10" ht="12.75">
      <c r="B18" s="5"/>
      <c r="C18" s="157">
        <f>27689+3000+1000+275</f>
        <v>31964</v>
      </c>
      <c r="D18" s="5"/>
      <c r="E18" s="199" t="s">
        <v>7</v>
      </c>
      <c r="G18" s="23" t="s">
        <v>535</v>
      </c>
      <c r="H18" s="5">
        <f>B29</f>
        <v>25500</v>
      </c>
      <c r="I18" s="5">
        <f>C30</f>
        <v>25500</v>
      </c>
      <c r="J18" s="5">
        <f>D31</f>
        <v>25500</v>
      </c>
    </row>
    <row r="19" spans="2:10" ht="12.75">
      <c r="B19" s="5"/>
      <c r="C19" s="5"/>
      <c r="D19" s="157">
        <f>27689+3000+1000+275</f>
        <v>31964</v>
      </c>
      <c r="E19" s="199" t="s">
        <v>8</v>
      </c>
      <c r="G19" s="22" t="s">
        <v>52</v>
      </c>
      <c r="H19" s="5">
        <f>SUM(H15:H18)</f>
        <v>125500</v>
      </c>
      <c r="I19" s="5">
        <f>SUM(I15:I18)</f>
        <v>80500</v>
      </c>
      <c r="J19" s="5">
        <f>SUM(J15:J18)</f>
        <v>31500</v>
      </c>
    </row>
    <row r="20" spans="1:10" ht="12.75">
      <c r="A20" s="2" t="s">
        <v>12</v>
      </c>
      <c r="B20" s="6"/>
      <c r="C20" s="6"/>
      <c r="D20" s="6"/>
      <c r="G20" s="22" t="s">
        <v>53</v>
      </c>
      <c r="H20" s="5">
        <f>H7-H19</f>
        <v>214637</v>
      </c>
      <c r="I20" s="5">
        <f>I7-I19</f>
        <v>195537</v>
      </c>
      <c r="J20" s="5">
        <f>J7-J19</f>
        <v>167432</v>
      </c>
    </row>
    <row r="21" spans="2:10" ht="12.75">
      <c r="B21" s="157">
        <f>31605+3500+12000</f>
        <v>47105</v>
      </c>
      <c r="C21" s="5"/>
      <c r="D21" s="5"/>
      <c r="E21" s="199" t="s">
        <v>538</v>
      </c>
      <c r="G21" s="19"/>
      <c r="H21" s="1"/>
      <c r="I21" s="1"/>
      <c r="J21" s="18"/>
    </row>
    <row r="22" spans="2:5" ht="12.75">
      <c r="B22" s="5"/>
      <c r="C22" s="157">
        <f>31605+6000</f>
        <v>37605</v>
      </c>
      <c r="D22" s="5"/>
      <c r="E22" s="199" t="s">
        <v>539</v>
      </c>
    </row>
    <row r="23" spans="2:5" ht="12.75">
      <c r="B23" s="5"/>
      <c r="C23" s="5"/>
      <c r="D23" s="157">
        <f>3500+6000</f>
        <v>9500</v>
      </c>
      <c r="E23" s="199" t="s">
        <v>540</v>
      </c>
    </row>
    <row r="24" spans="1:5" ht="12.75">
      <c r="A24" s="2" t="s">
        <v>16</v>
      </c>
      <c r="B24" s="6"/>
      <c r="C24" s="6"/>
      <c r="D24" s="6"/>
      <c r="E24" s="8"/>
    </row>
    <row r="25" spans="2:5" ht="12.75">
      <c r="B25" s="157">
        <v>9600</v>
      </c>
      <c r="C25" s="5"/>
      <c r="D25" s="5"/>
      <c r="E25" s="199" t="s">
        <v>17</v>
      </c>
    </row>
    <row r="26" spans="2:5" ht="12.75">
      <c r="B26" s="5"/>
      <c r="C26" s="5">
        <v>0</v>
      </c>
      <c r="D26" s="5"/>
      <c r="E26" t="s">
        <v>18</v>
      </c>
    </row>
    <row r="27" spans="2:5" ht="12.75">
      <c r="B27" s="5"/>
      <c r="C27" s="5"/>
      <c r="D27" s="5">
        <v>0</v>
      </c>
      <c r="E27" t="s">
        <v>19</v>
      </c>
    </row>
    <row r="28" spans="1:4" ht="12.75">
      <c r="A28" s="2" t="s">
        <v>535</v>
      </c>
      <c r="B28" s="6"/>
      <c r="C28" s="6"/>
      <c r="D28" s="6"/>
    </row>
    <row r="29" spans="2:5" ht="12.75">
      <c r="B29" s="15">
        <v>25500</v>
      </c>
      <c r="C29" s="5"/>
      <c r="D29" s="5"/>
      <c r="E29" s="151" t="s">
        <v>537</v>
      </c>
    </row>
    <row r="30" spans="2:5" ht="12.75">
      <c r="B30" s="5"/>
      <c r="C30" s="13">
        <v>25500</v>
      </c>
      <c r="D30" s="5"/>
      <c r="E30" s="152" t="s">
        <v>27</v>
      </c>
    </row>
    <row r="31" spans="2:10" ht="12.75">
      <c r="B31" s="5"/>
      <c r="C31" s="5"/>
      <c r="D31" s="13">
        <v>25500</v>
      </c>
      <c r="E31" s="152" t="s">
        <v>28</v>
      </c>
      <c r="J31" t="s">
        <v>39</v>
      </c>
    </row>
    <row r="32" spans="1:4" ht="12.75">
      <c r="A32" s="2" t="s">
        <v>26</v>
      </c>
      <c r="B32" s="6"/>
      <c r="C32" s="6"/>
      <c r="D32" s="6"/>
    </row>
    <row r="33" spans="2:5" ht="12.75">
      <c r="B33" s="13">
        <v>29000</v>
      </c>
      <c r="C33" s="5"/>
      <c r="D33" s="5"/>
      <c r="E33" s="152" t="s">
        <v>497</v>
      </c>
    </row>
    <row r="34" spans="2:5" ht="12.75">
      <c r="B34" s="5"/>
      <c r="C34" s="13">
        <v>29000</v>
      </c>
      <c r="D34" s="5"/>
      <c r="E34" s="152" t="s">
        <v>27</v>
      </c>
    </row>
    <row r="35" spans="2:6" ht="12.75">
      <c r="B35" s="5"/>
      <c r="C35" s="5"/>
      <c r="D35" s="5">
        <v>0</v>
      </c>
      <c r="E35" t="s">
        <v>498</v>
      </c>
      <c r="F35" s="8"/>
    </row>
    <row r="36" spans="1:7" ht="12.75">
      <c r="A36" s="2" t="s">
        <v>40</v>
      </c>
      <c r="B36" s="6"/>
      <c r="C36" s="6"/>
      <c r="D36" s="6"/>
      <c r="G36" s="9"/>
    </row>
    <row r="37" spans="2:5" ht="12.75">
      <c r="B37" s="154">
        <f>14627+26000</f>
        <v>40627</v>
      </c>
      <c r="C37" s="5"/>
      <c r="D37" s="5"/>
      <c r="E37" s="153" t="s">
        <v>541</v>
      </c>
    </row>
    <row r="38" spans="2:5" ht="12.75">
      <c r="B38" s="5"/>
      <c r="C38" s="154">
        <f>14627+26000</f>
        <v>40627</v>
      </c>
      <c r="D38" s="5"/>
      <c r="E38" s="153" t="s">
        <v>542</v>
      </c>
    </row>
    <row r="39" spans="2:5" ht="12.75">
      <c r="B39" s="5"/>
      <c r="C39" s="5"/>
      <c r="D39" s="13">
        <f>26000+14627</f>
        <v>40627</v>
      </c>
      <c r="E39" s="152" t="s">
        <v>449</v>
      </c>
    </row>
    <row r="40" spans="1:5" ht="12.75">
      <c r="A40" s="2" t="s">
        <v>527</v>
      </c>
      <c r="B40" s="6"/>
      <c r="C40" s="6"/>
      <c r="D40" s="6"/>
      <c r="E40" s="8"/>
    </row>
    <row r="41" spans="2:5" ht="12.75">
      <c r="B41" s="15">
        <v>6000</v>
      </c>
      <c r="C41" s="5"/>
      <c r="D41" s="5"/>
      <c r="E41" s="151" t="s">
        <v>528</v>
      </c>
    </row>
    <row r="42" spans="2:5" ht="12.75">
      <c r="B42" s="5"/>
      <c r="C42" s="13">
        <v>6000</v>
      </c>
      <c r="D42" s="5"/>
      <c r="E42" s="152" t="s">
        <v>31</v>
      </c>
    </row>
    <row r="43" spans="2:5" ht="12.75">
      <c r="B43" s="5"/>
      <c r="C43" s="5"/>
      <c r="D43" s="13">
        <v>6000</v>
      </c>
      <c r="E43" s="152" t="s">
        <v>32</v>
      </c>
    </row>
    <row r="44" spans="1:4" ht="12.75">
      <c r="A44" s="2" t="s">
        <v>35</v>
      </c>
      <c r="B44" s="6"/>
      <c r="C44" s="6"/>
      <c r="D44" s="6"/>
    </row>
    <row r="45" spans="2:5" ht="12.75">
      <c r="B45" s="13">
        <f>53000+32341</f>
        <v>85341</v>
      </c>
      <c r="C45" s="5"/>
      <c r="D45" s="5"/>
      <c r="E45" s="152" t="s">
        <v>499</v>
      </c>
    </row>
    <row r="46" spans="2:5" ht="12.75">
      <c r="B46" s="5"/>
      <c r="C46" s="13">
        <f>53000+32341</f>
        <v>85341</v>
      </c>
      <c r="D46" s="5"/>
      <c r="E46" s="152" t="s">
        <v>500</v>
      </c>
    </row>
    <row r="47" spans="2:5" ht="12.75">
      <c r="B47" s="5"/>
      <c r="C47" s="5"/>
      <c r="D47" s="13">
        <f>53000+32341</f>
        <v>85341</v>
      </c>
      <c r="E47" s="152" t="s">
        <v>501</v>
      </c>
    </row>
    <row r="48" spans="1:4" ht="12.75">
      <c r="A48" s="2" t="s">
        <v>25</v>
      </c>
      <c r="B48" s="6"/>
      <c r="C48" s="6"/>
      <c r="D48" s="6"/>
    </row>
    <row r="49" spans="2:7" ht="12.75">
      <c r="B49" s="5">
        <f>B13+B17+B21+B25+B29+B33+B37+B41+B45</f>
        <v>340137</v>
      </c>
      <c r="C49" s="5"/>
      <c r="D49" s="5"/>
      <c r="E49" t="s">
        <v>502</v>
      </c>
      <c r="G49" s="8"/>
    </row>
    <row r="50" spans="2:5" ht="12.75">
      <c r="B50" s="5"/>
      <c r="C50" s="5">
        <f>C14+C18+C22+C26+C30+C34+C38+C42+C46</f>
        <v>276037</v>
      </c>
      <c r="D50" s="5"/>
      <c r="E50" t="s">
        <v>503</v>
      </c>
    </row>
    <row r="51" spans="2:5" ht="12.75">
      <c r="B51" s="5"/>
      <c r="C51" s="5"/>
      <c r="D51" s="5">
        <f>D15+D19+D23+D27+D31+D35+D39+D43+D47</f>
        <v>198932</v>
      </c>
      <c r="E51" t="s">
        <v>504</v>
      </c>
    </row>
    <row r="54" spans="1:4" ht="12.75">
      <c r="A54" s="203" t="s">
        <v>23</v>
      </c>
      <c r="B54" s="203"/>
      <c r="C54" s="203"/>
      <c r="D54" s="203"/>
    </row>
    <row r="55" spans="1:4" ht="12.75">
      <c r="A55" s="1" t="s">
        <v>535</v>
      </c>
      <c r="B55" s="1">
        <v>0</v>
      </c>
      <c r="C55" s="1">
        <f>C30</f>
        <v>25500</v>
      </c>
      <c r="D55" s="1">
        <f>D31</f>
        <v>25500</v>
      </c>
    </row>
    <row r="56" spans="1:4" ht="12.75">
      <c r="A56" t="s">
        <v>29</v>
      </c>
      <c r="B56" s="1">
        <f>B33</f>
        <v>29000</v>
      </c>
      <c r="C56" s="1">
        <f>C34</f>
        <v>29000</v>
      </c>
      <c r="D56" s="1">
        <f>D35</f>
        <v>0</v>
      </c>
    </row>
    <row r="57" spans="1:4" ht="12.75">
      <c r="A57" t="str">
        <f>A40</f>
        <v>Sidewalks Snow Removal</v>
      </c>
      <c r="B57" s="1">
        <v>0</v>
      </c>
      <c r="C57" s="1">
        <f>C42</f>
        <v>6000</v>
      </c>
      <c r="D57" s="1">
        <f>D43</f>
        <v>6000</v>
      </c>
    </row>
    <row r="58" spans="1:4" ht="12.75">
      <c r="A58" s="8" t="s">
        <v>30</v>
      </c>
      <c r="B58" s="124">
        <v>0</v>
      </c>
      <c r="C58" s="124">
        <v>0</v>
      </c>
      <c r="D58" s="124">
        <f>D39</f>
        <v>40627</v>
      </c>
    </row>
    <row r="59" spans="1:6" ht="12.75">
      <c r="A59" t="s">
        <v>36</v>
      </c>
      <c r="B59" s="1">
        <f>B45</f>
        <v>85341</v>
      </c>
      <c r="C59" s="1">
        <f>C46</f>
        <v>85341</v>
      </c>
      <c r="D59" s="1">
        <f>D47</f>
        <v>85341</v>
      </c>
      <c r="E59" s="8"/>
      <c r="F59" s="8"/>
    </row>
    <row r="60" ht="12.75">
      <c r="E60" s="8"/>
    </row>
    <row r="61" spans="1:4" ht="12.75">
      <c r="A61" s="10" t="s">
        <v>505</v>
      </c>
      <c r="B61" s="11"/>
      <c r="C61" s="11"/>
      <c r="D61" s="11"/>
    </row>
    <row r="62" spans="2:5" ht="12.75">
      <c r="B62" s="1">
        <f>B55+B56+B57+B58+B59</f>
        <v>114341</v>
      </c>
      <c r="E62" t="s">
        <v>10</v>
      </c>
    </row>
    <row r="63" spans="3:5" ht="12.75">
      <c r="C63" s="1">
        <f>C55+C56+C57+C58+C59</f>
        <v>145841</v>
      </c>
      <c r="E63" t="s">
        <v>9</v>
      </c>
    </row>
    <row r="64" spans="4:5" ht="12.75">
      <c r="D64" s="1">
        <f>D55+D56+D57+D58+D59</f>
        <v>157468</v>
      </c>
      <c r="E64" t="s">
        <v>11</v>
      </c>
    </row>
    <row r="65" spans="1:4" ht="12.75">
      <c r="A65" s="10" t="s">
        <v>45</v>
      </c>
      <c r="B65" s="11"/>
      <c r="C65" s="11"/>
      <c r="D65" s="11"/>
    </row>
    <row r="66" spans="2:5" ht="12.75">
      <c r="B66" s="1">
        <f>B49-B62</f>
        <v>225796</v>
      </c>
      <c r="E66" t="s">
        <v>10</v>
      </c>
    </row>
    <row r="67" spans="3:5" ht="12.75">
      <c r="C67" s="1">
        <f>C50-C63</f>
        <v>130196</v>
      </c>
      <c r="E67" t="s">
        <v>9</v>
      </c>
    </row>
    <row r="68" spans="4:5" ht="12.75">
      <c r="D68" s="1">
        <f>D51-D64</f>
        <v>41464</v>
      </c>
      <c r="E68" t="s">
        <v>11</v>
      </c>
    </row>
    <row r="70" spans="2:4" ht="12.75">
      <c r="B70"/>
      <c r="C70"/>
      <c r="D70"/>
    </row>
    <row r="71" spans="1:4" ht="12.75">
      <c r="A71" s="203" t="s">
        <v>13</v>
      </c>
      <c r="B71" s="203"/>
      <c r="C71" s="203"/>
      <c r="D71" s="203"/>
    </row>
    <row r="72" ht="12.75">
      <c r="B72" s="1" t="s">
        <v>14</v>
      </c>
    </row>
    <row r="73" ht="12.75">
      <c r="B73" s="1" t="s">
        <v>15</v>
      </c>
    </row>
    <row r="74" ht="12.75">
      <c r="B74" s="1" t="s">
        <v>20</v>
      </c>
    </row>
    <row r="75" ht="12.75">
      <c r="B75" s="1" t="s">
        <v>21</v>
      </c>
    </row>
    <row r="76" ht="12.75">
      <c r="B76" s="1" t="s">
        <v>22</v>
      </c>
    </row>
    <row r="77" spans="2:5" ht="12.75">
      <c r="B77" s="1" t="s">
        <v>37</v>
      </c>
      <c r="E77" t="s">
        <v>38</v>
      </c>
    </row>
    <row r="78" spans="2:5" ht="12.75">
      <c r="B78" s="1" t="s">
        <v>33</v>
      </c>
      <c r="E78" t="s">
        <v>34</v>
      </c>
    </row>
    <row r="79" ht="12.75">
      <c r="B79" s="1" t="s">
        <v>529</v>
      </c>
    </row>
    <row r="80" ht="12.75">
      <c r="B80" s="1" t="s">
        <v>530</v>
      </c>
    </row>
  </sheetData>
  <sheetProtection/>
  <mergeCells count="5">
    <mergeCell ref="B10:D10"/>
    <mergeCell ref="A54:D54"/>
    <mergeCell ref="A71:D71"/>
    <mergeCell ref="G1:J1"/>
    <mergeCell ref="G11:J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94"/>
  <sheetViews>
    <sheetView zoomScalePageLayoutView="0" workbookViewId="0" topLeftCell="A67">
      <selection activeCell="A41" sqref="A41"/>
    </sheetView>
  </sheetViews>
  <sheetFormatPr defaultColWidth="9.140625" defaultRowHeight="12.75"/>
  <cols>
    <col min="1" max="1" width="16.57421875" style="90" customWidth="1"/>
    <col min="2" max="2" width="28.28125" style="90" customWidth="1"/>
    <col min="3" max="3" width="9.140625" style="90" bestFit="1" customWidth="1"/>
    <col min="4" max="16384" width="9.140625" style="90" customWidth="1"/>
  </cols>
  <sheetData>
    <row r="1" spans="1:7" ht="12.75">
      <c r="A1" s="213" t="s">
        <v>447</v>
      </c>
      <c r="B1" s="213"/>
      <c r="C1" s="213"/>
      <c r="D1" s="213"/>
      <c r="E1" s="213"/>
      <c r="F1" s="90" t="str">
        <f>NewLevyandRates!G37</f>
        <v>TOV</v>
      </c>
      <c r="G1" s="90">
        <f>NewLevyandRates!H37</f>
        <v>0.7573455455859937</v>
      </c>
    </row>
    <row r="2" spans="1:7" ht="12.75">
      <c r="A2" s="111"/>
      <c r="B2" s="111"/>
      <c r="C2" s="111"/>
      <c r="D2" s="111"/>
      <c r="E2" s="111"/>
      <c r="F2" s="90" t="str">
        <f>NewLevyandRates!G38</f>
        <v>Village</v>
      </c>
      <c r="G2" s="90">
        <f>NewLevyandRates!H38</f>
        <v>0.24265445441400635</v>
      </c>
    </row>
    <row r="3" spans="3:5" ht="12.75">
      <c r="C3" s="212" t="str">
        <f>Scenarios!B10</f>
        <v>Scenarios</v>
      </c>
      <c r="D3" s="212"/>
      <c r="E3" s="212"/>
    </row>
    <row r="4" spans="3:12" ht="12.75">
      <c r="C4" s="91" t="str">
        <f>Scenarios!B11</f>
        <v>One</v>
      </c>
      <c r="D4" s="91" t="str">
        <f>Scenarios!C11</f>
        <v>Two</v>
      </c>
      <c r="E4" s="91" t="str">
        <f>Scenarios!D11</f>
        <v>Three</v>
      </c>
      <c r="G4" s="205" t="s">
        <v>59</v>
      </c>
      <c r="H4" s="205"/>
      <c r="I4" s="205" t="s">
        <v>60</v>
      </c>
      <c r="J4" s="205"/>
      <c r="K4" s="205" t="s">
        <v>61</v>
      </c>
      <c r="L4" s="205"/>
    </row>
    <row r="5" spans="1:12" ht="12.75">
      <c r="A5" s="131" t="str">
        <f>Scenarios!A12</f>
        <v>DPW</v>
      </c>
      <c r="B5" s="131" t="s">
        <v>444</v>
      </c>
      <c r="C5" s="206">
        <f>VillageBudget!G246</f>
        <v>325364.87004662</v>
      </c>
      <c r="D5" s="207"/>
      <c r="E5" s="208"/>
      <c r="G5" s="96" t="s">
        <v>440</v>
      </c>
      <c r="H5" s="96" t="s">
        <v>76</v>
      </c>
      <c r="I5" s="96" t="s">
        <v>440</v>
      </c>
      <c r="J5" s="96" t="s">
        <v>76</v>
      </c>
      <c r="K5" s="96" t="s">
        <v>440</v>
      </c>
      <c r="L5" s="96" t="s">
        <v>76</v>
      </c>
    </row>
    <row r="6" spans="2:12" ht="12.75">
      <c r="B6" s="106" t="s">
        <v>450</v>
      </c>
      <c r="C6" s="87">
        <f>Scenarios!B13</f>
        <v>65000</v>
      </c>
      <c r="D6" s="86">
        <f>Scenarios!C14</f>
        <v>20000</v>
      </c>
      <c r="E6" s="86">
        <f>Scenarios!D15</f>
        <v>0</v>
      </c>
      <c r="G6" s="95">
        <f>-$C5*$G$1</f>
        <v>-246413.63501997336</v>
      </c>
      <c r="H6" s="95">
        <f>+$C5*$G$1</f>
        <v>246413.63501997336</v>
      </c>
      <c r="I6" s="95">
        <f>-$C5*$G$1</f>
        <v>-246413.63501997336</v>
      </c>
      <c r="J6" s="95">
        <f>+$C5*$G$1</f>
        <v>246413.63501997336</v>
      </c>
      <c r="K6" s="95">
        <f>-$C5*$G$1</f>
        <v>-246413.63501997336</v>
      </c>
      <c r="L6" s="95">
        <f>+$C5*$G$1</f>
        <v>246413.63501997336</v>
      </c>
    </row>
    <row r="7" spans="2:12" ht="12.75">
      <c r="B7" s="98" t="s">
        <v>23</v>
      </c>
      <c r="C7" s="86">
        <v>0</v>
      </c>
      <c r="D7" s="86">
        <v>0</v>
      </c>
      <c r="E7" s="86">
        <v>0</v>
      </c>
      <c r="G7" s="95">
        <f>C7*$G$1</f>
        <v>0</v>
      </c>
      <c r="H7" s="95">
        <f>-C7*$G$1</f>
        <v>0</v>
      </c>
      <c r="I7" s="95">
        <f>D7*$G$1</f>
        <v>0</v>
      </c>
      <c r="J7" s="95">
        <f>-D7*$G$1</f>
        <v>0</v>
      </c>
      <c r="K7" s="95">
        <f>E7*$G$1</f>
        <v>0</v>
      </c>
      <c r="L7" s="95">
        <f>-E7*$G$1</f>
        <v>0</v>
      </c>
    </row>
    <row r="8" spans="2:12" ht="12.75">
      <c r="B8" s="98" t="s">
        <v>42</v>
      </c>
      <c r="C8" s="86">
        <f>C6</f>
        <v>65000</v>
      </c>
      <c r="D8" s="86">
        <f>D6</f>
        <v>20000</v>
      </c>
      <c r="E8" s="86">
        <v>0</v>
      </c>
      <c r="G8" s="95">
        <f>-C8*$G$2</f>
        <v>-15772.539536910414</v>
      </c>
      <c r="H8" s="95">
        <f>-C8*$G$1</f>
        <v>-49227.460463089585</v>
      </c>
      <c r="I8" s="95">
        <f>-D8*$G$2</f>
        <v>-4853.089088280127</v>
      </c>
      <c r="J8" s="95">
        <f>-D8*$G$1</f>
        <v>-15146.910911719873</v>
      </c>
      <c r="K8" s="95">
        <f>-E8*$G$2</f>
        <v>0</v>
      </c>
      <c r="L8" s="95">
        <f>-E8*$G$1</f>
        <v>0</v>
      </c>
    </row>
    <row r="9" spans="2:12" ht="12.75">
      <c r="B9" s="98" t="s">
        <v>43</v>
      </c>
      <c r="C9" s="86">
        <v>0</v>
      </c>
      <c r="D9" s="86">
        <v>0</v>
      </c>
      <c r="E9" s="86">
        <v>0</v>
      </c>
      <c r="G9" s="95">
        <f>-C9*$G$2</f>
        <v>0</v>
      </c>
      <c r="H9" s="95">
        <f>-C9*$G$1</f>
        <v>0</v>
      </c>
      <c r="I9" s="95">
        <f>-D9*$G$2</f>
        <v>0</v>
      </c>
      <c r="J9" s="95">
        <f>-D9*$G$1</f>
        <v>0</v>
      </c>
      <c r="K9" s="95">
        <f>-E9*$G$2</f>
        <v>0</v>
      </c>
      <c r="L9" s="95">
        <f>-E9*$G$1</f>
        <v>0</v>
      </c>
    </row>
    <row r="10" spans="2:12" s="94" customFormat="1" ht="12.75">
      <c r="B10" s="100" t="s">
        <v>445</v>
      </c>
      <c r="C10" s="101">
        <f>G10</f>
        <v>-262186.17455688375</v>
      </c>
      <c r="D10" s="101">
        <f>I10</f>
        <v>-251266.7241082535</v>
      </c>
      <c r="E10" s="101">
        <f>K10</f>
        <v>-246413.63501997336</v>
      </c>
      <c r="G10" s="95">
        <f>SUM(G6:G9)</f>
        <v>-262186.17455688375</v>
      </c>
      <c r="H10" s="95"/>
      <c r="I10" s="95">
        <f>SUM(I6:I9)</f>
        <v>-251266.7241082535</v>
      </c>
      <c r="J10" s="95"/>
      <c r="K10" s="95">
        <f>SUM(K6:K9)</f>
        <v>-246413.63501997336</v>
      </c>
      <c r="L10" s="95"/>
    </row>
    <row r="11" spans="2:12" s="94" customFormat="1" ht="12.75">
      <c r="B11" s="100" t="s">
        <v>446</v>
      </c>
      <c r="C11" s="101">
        <f>H11</f>
        <v>197186.17455688378</v>
      </c>
      <c r="D11" s="101">
        <f>J11</f>
        <v>231266.7241082535</v>
      </c>
      <c r="E11" s="101">
        <f>L11</f>
        <v>246413.63501997336</v>
      </c>
      <c r="G11" s="95"/>
      <c r="H11" s="95">
        <f>SUM(H6:H9)</f>
        <v>197186.17455688378</v>
      </c>
      <c r="I11" s="95"/>
      <c r="J11" s="95">
        <f>SUM(J6:J9)</f>
        <v>231266.7241082535</v>
      </c>
      <c r="K11" s="95"/>
      <c r="L11" s="95">
        <f>SUM(L6:L9)</f>
        <v>246413.63501997336</v>
      </c>
    </row>
    <row r="12" spans="2:12" s="94" customFormat="1" ht="12.75">
      <c r="B12" s="99"/>
      <c r="C12" s="87"/>
      <c r="D12" s="87"/>
      <c r="E12" s="87"/>
      <c r="H12" s="97"/>
      <c r="J12" s="97"/>
      <c r="L12" s="97"/>
    </row>
    <row r="13" spans="2:12" s="94" customFormat="1" ht="12.75">
      <c r="B13" s="99"/>
      <c r="C13" s="102"/>
      <c r="D13" s="103"/>
      <c r="E13" s="104"/>
      <c r="G13" s="205" t="s">
        <v>59</v>
      </c>
      <c r="H13" s="205"/>
      <c r="I13" s="205" t="s">
        <v>60</v>
      </c>
      <c r="J13" s="205"/>
      <c r="K13" s="205" t="s">
        <v>61</v>
      </c>
      <c r="L13" s="205"/>
    </row>
    <row r="14" spans="1:12" ht="12.75">
      <c r="A14" s="92" t="str">
        <f>Scenarios!A16</f>
        <v>Board</v>
      </c>
      <c r="B14" s="92" t="str">
        <f aca="true" t="shared" si="0" ref="B14:B20">B5</f>
        <v>Current Expenditures</v>
      </c>
      <c r="C14" s="209">
        <f>VillageBudget!H246</f>
        <v>62864.318181818184</v>
      </c>
      <c r="D14" s="210"/>
      <c r="E14" s="211"/>
      <c r="G14" s="96" t="s">
        <v>440</v>
      </c>
      <c r="H14" s="96" t="s">
        <v>76</v>
      </c>
      <c r="I14" s="96" t="s">
        <v>440</v>
      </c>
      <c r="J14" s="96" t="s">
        <v>76</v>
      </c>
      <c r="K14" s="96" t="s">
        <v>440</v>
      </c>
      <c r="L14" s="96" t="s">
        <v>76</v>
      </c>
    </row>
    <row r="15" spans="2:12" s="94" customFormat="1" ht="12.75">
      <c r="B15" s="93" t="str">
        <f t="shared" si="0"/>
        <v>Total Changes</v>
      </c>
      <c r="C15" s="87">
        <f>Scenarios!B17</f>
        <v>31964</v>
      </c>
      <c r="D15" s="87">
        <f>Scenarios!C18</f>
        <v>31964</v>
      </c>
      <c r="E15" s="87">
        <f>Scenarios!D19</f>
        <v>31964</v>
      </c>
      <c r="G15" s="95">
        <f>-$C14*$G$1</f>
        <v>-47610.01135130059</v>
      </c>
      <c r="H15" s="95">
        <f>+$C14*$G$1</f>
        <v>47610.01135130059</v>
      </c>
      <c r="I15" s="95">
        <f>-$C14*$G$1</f>
        <v>-47610.01135130059</v>
      </c>
      <c r="J15" s="95">
        <f>+$C14*$G$1</f>
        <v>47610.01135130059</v>
      </c>
      <c r="K15" s="95">
        <f>-$C14*$G$1</f>
        <v>-47610.01135130059</v>
      </c>
      <c r="L15" s="95">
        <f>+$C14*$G$1</f>
        <v>47610.01135130059</v>
      </c>
    </row>
    <row r="16" spans="2:12" ht="12.75">
      <c r="B16" s="98" t="str">
        <f t="shared" si="0"/>
        <v>Special Districts</v>
      </c>
      <c r="C16" s="86">
        <v>0</v>
      </c>
      <c r="D16" s="86">
        <v>0</v>
      </c>
      <c r="E16" s="86">
        <v>0</v>
      </c>
      <c r="G16" s="95">
        <f>C16*$G$1</f>
        <v>0</v>
      </c>
      <c r="H16" s="95">
        <f>-C16*$G$1</f>
        <v>0</v>
      </c>
      <c r="I16" s="95">
        <f>D16*$G$1</f>
        <v>0</v>
      </c>
      <c r="J16" s="95">
        <f>-D16*$G$1</f>
        <v>0</v>
      </c>
      <c r="K16" s="95">
        <f>E16*$G$1</f>
        <v>0</v>
      </c>
      <c r="L16" s="95">
        <f>-E16*$G$1</f>
        <v>0</v>
      </c>
    </row>
    <row r="17" spans="2:12" ht="12.75">
      <c r="B17" s="98" t="str">
        <f t="shared" si="0"/>
        <v>Efficiencies</v>
      </c>
      <c r="C17" s="86">
        <f>C15</f>
        <v>31964</v>
      </c>
      <c r="D17" s="86">
        <f>D15</f>
        <v>31964</v>
      </c>
      <c r="E17" s="86">
        <f>E15</f>
        <v>31964</v>
      </c>
      <c r="G17" s="95">
        <f>-C17*$G$2</f>
        <v>-7756.206980889299</v>
      </c>
      <c r="H17" s="95">
        <f>-C17*$G$1</f>
        <v>-24207.7930191107</v>
      </c>
      <c r="I17" s="95">
        <f>-D17*$G$2</f>
        <v>-7756.206980889299</v>
      </c>
      <c r="J17" s="95">
        <f>-D17*$G$1</f>
        <v>-24207.7930191107</v>
      </c>
      <c r="K17" s="95">
        <f>-E17*$G$2</f>
        <v>-7756.206980889299</v>
      </c>
      <c r="L17" s="95">
        <f>-E17*$G$1</f>
        <v>-24207.7930191107</v>
      </c>
    </row>
    <row r="18" spans="2:12" ht="12.75">
      <c r="B18" s="98" t="str">
        <f t="shared" si="0"/>
        <v>Reduced Services</v>
      </c>
      <c r="C18" s="86">
        <v>0</v>
      </c>
      <c r="D18" s="86">
        <v>0</v>
      </c>
      <c r="E18" s="86">
        <v>0</v>
      </c>
      <c r="G18" s="95">
        <f>-C18*$G$2</f>
        <v>0</v>
      </c>
      <c r="H18" s="95">
        <f>-C18*$G$1</f>
        <v>0</v>
      </c>
      <c r="I18" s="95">
        <f>-D18*$G$2</f>
        <v>0</v>
      </c>
      <c r="J18" s="95">
        <f>-D18*$G$1</f>
        <v>0</v>
      </c>
      <c r="K18" s="95">
        <f>-E18*$G$2</f>
        <v>0</v>
      </c>
      <c r="L18" s="95">
        <f>-E18*$G$1</f>
        <v>0</v>
      </c>
    </row>
    <row r="19" spans="2:12" s="94" customFormat="1" ht="12.75">
      <c r="B19" s="100" t="str">
        <f t="shared" si="0"/>
        <v>Impact - Village Resident</v>
      </c>
      <c r="C19" s="101">
        <f>G19</f>
        <v>-55366.21833218989</v>
      </c>
      <c r="D19" s="101">
        <f>I19</f>
        <v>-55366.21833218989</v>
      </c>
      <c r="E19" s="101">
        <f>K19</f>
        <v>-55366.21833218989</v>
      </c>
      <c r="G19" s="95">
        <f>SUM(G14:G18)</f>
        <v>-55366.21833218989</v>
      </c>
      <c r="H19" s="95"/>
      <c r="I19" s="95">
        <f>SUM(I14:I18)</f>
        <v>-55366.21833218989</v>
      </c>
      <c r="J19" s="95"/>
      <c r="K19" s="95">
        <f>SUM(K14:K18)</f>
        <v>-55366.21833218989</v>
      </c>
      <c r="L19" s="95"/>
    </row>
    <row r="20" spans="2:12" s="94" customFormat="1" ht="12.75">
      <c r="B20" s="100" t="str">
        <f t="shared" si="0"/>
        <v>Impact - TOV Resident</v>
      </c>
      <c r="C20" s="101">
        <f>H20</f>
        <v>23402.218332189892</v>
      </c>
      <c r="D20" s="101">
        <f>J20</f>
        <v>23402.218332189892</v>
      </c>
      <c r="E20" s="101">
        <f>L20</f>
        <v>23402.218332189892</v>
      </c>
      <c r="G20" s="95"/>
      <c r="H20" s="95">
        <f>SUM(H14:H18)</f>
        <v>23402.218332189892</v>
      </c>
      <c r="I20" s="95"/>
      <c r="J20" s="95">
        <f>SUM(J14:J18)</f>
        <v>23402.218332189892</v>
      </c>
      <c r="K20" s="95"/>
      <c r="L20" s="95">
        <f>SUM(L14:L18)</f>
        <v>23402.218332189892</v>
      </c>
    </row>
    <row r="21" spans="2:12" s="94" customFormat="1" ht="12.75">
      <c r="B21" s="99"/>
      <c r="C21" s="87"/>
      <c r="D21" s="87"/>
      <c r="E21" s="87"/>
      <c r="H21" s="97"/>
      <c r="J21" s="97"/>
      <c r="L21" s="97"/>
    </row>
    <row r="22" spans="2:12" s="94" customFormat="1" ht="12.75">
      <c r="B22" s="99"/>
      <c r="C22" s="87"/>
      <c r="D22" s="87"/>
      <c r="E22" s="87"/>
      <c r="G22" s="205" t="s">
        <v>59</v>
      </c>
      <c r="H22" s="205"/>
      <c r="I22" s="205" t="s">
        <v>60</v>
      </c>
      <c r="J22" s="205"/>
      <c r="K22" s="205" t="s">
        <v>61</v>
      </c>
      <c r="L22" s="205"/>
    </row>
    <row r="23" spans="1:12" ht="12.75">
      <c r="A23" s="92" t="str">
        <f>Scenarios!A20</f>
        <v>Clerk/Treasurer</v>
      </c>
      <c r="B23" s="92" t="str">
        <f aca="true" t="shared" si="1" ref="B23:B29">B14</f>
        <v>Current Expenditures</v>
      </c>
      <c r="C23" s="209">
        <f>VillageBudget!I246</f>
        <v>46335.518065268065</v>
      </c>
      <c r="D23" s="210"/>
      <c r="E23" s="211"/>
      <c r="G23" s="96" t="s">
        <v>440</v>
      </c>
      <c r="H23" s="96" t="s">
        <v>76</v>
      </c>
      <c r="I23" s="96" t="s">
        <v>440</v>
      </c>
      <c r="J23" s="96" t="s">
        <v>76</v>
      </c>
      <c r="K23" s="96" t="s">
        <v>440</v>
      </c>
      <c r="L23" s="96" t="s">
        <v>76</v>
      </c>
    </row>
    <row r="24" spans="2:12" s="94" customFormat="1" ht="12.75">
      <c r="B24" s="93" t="str">
        <f t="shared" si="1"/>
        <v>Total Changes</v>
      </c>
      <c r="C24" s="87">
        <f>Scenarios!B21</f>
        <v>47105</v>
      </c>
      <c r="D24" s="87">
        <f>Scenarios!C22</f>
        <v>37605</v>
      </c>
      <c r="E24" s="87">
        <f>Scenarios!D23</f>
        <v>9500</v>
      </c>
      <c r="G24" s="95">
        <f>-$C23*$G$1</f>
        <v>-35091.99820915011</v>
      </c>
      <c r="H24" s="95">
        <f>+$C23*$G$1</f>
        <v>35091.99820915011</v>
      </c>
      <c r="I24" s="95">
        <f>-$C23*$G$1</f>
        <v>-35091.99820915011</v>
      </c>
      <c r="J24" s="95">
        <f>+$C23*$G$1</f>
        <v>35091.99820915011</v>
      </c>
      <c r="K24" s="95">
        <f>-$C23*$G$1</f>
        <v>-35091.99820915011</v>
      </c>
      <c r="L24" s="95">
        <f>+$C23*$G$1</f>
        <v>35091.99820915011</v>
      </c>
    </row>
    <row r="25" spans="2:12" ht="12.75">
      <c r="B25" s="98" t="str">
        <f t="shared" si="1"/>
        <v>Special Districts</v>
      </c>
      <c r="C25" s="86">
        <v>0</v>
      </c>
      <c r="D25" s="86">
        <v>0</v>
      </c>
      <c r="E25" s="86">
        <v>0</v>
      </c>
      <c r="G25" s="95">
        <f>C25*$G$1</f>
        <v>0</v>
      </c>
      <c r="H25" s="95">
        <f>-C25*$G$1</f>
        <v>0</v>
      </c>
      <c r="I25" s="95">
        <f>D25*$G$1</f>
        <v>0</v>
      </c>
      <c r="J25" s="95">
        <f>-D25*$G$1</f>
        <v>0</v>
      </c>
      <c r="K25" s="95">
        <f>E25*$G$1</f>
        <v>0</v>
      </c>
      <c r="L25" s="95">
        <f>-E25*$G$1</f>
        <v>0</v>
      </c>
    </row>
    <row r="26" spans="2:12" ht="12.75">
      <c r="B26" s="98" t="str">
        <f t="shared" si="1"/>
        <v>Efficiencies</v>
      </c>
      <c r="C26" s="86">
        <f>C24</f>
        <v>47105</v>
      </c>
      <c r="D26" s="86">
        <f>D24</f>
        <v>37605</v>
      </c>
      <c r="E26" s="86">
        <f>E24</f>
        <v>9500</v>
      </c>
      <c r="G26" s="95">
        <f>-C26*$G$2</f>
        <v>-11430.238075171768</v>
      </c>
      <c r="H26" s="95">
        <f>-C26*$G$1</f>
        <v>-35674.76192482823</v>
      </c>
      <c r="I26" s="95">
        <f>-D26*$G$2</f>
        <v>-9125.020758238708</v>
      </c>
      <c r="J26" s="95">
        <f>-D26*$G$1</f>
        <v>-28479.97924176129</v>
      </c>
      <c r="K26" s="95">
        <f>-E26*$G$2</f>
        <v>-2305.2173169330604</v>
      </c>
      <c r="L26" s="95">
        <f>-E26*$G$1</f>
        <v>-7194.78268306694</v>
      </c>
    </row>
    <row r="27" spans="2:12" ht="12.75">
      <c r="B27" s="98" t="str">
        <f t="shared" si="1"/>
        <v>Reduced Services</v>
      </c>
      <c r="C27" s="86">
        <v>0</v>
      </c>
      <c r="D27" s="86">
        <v>0</v>
      </c>
      <c r="E27" s="86">
        <v>0</v>
      </c>
      <c r="G27" s="95">
        <f>-C27*$G$2</f>
        <v>0</v>
      </c>
      <c r="H27" s="95">
        <f>-C27*$G$1</f>
        <v>0</v>
      </c>
      <c r="I27" s="95">
        <f>-D27*$G$2</f>
        <v>0</v>
      </c>
      <c r="J27" s="95">
        <f>-D27*$G$1</f>
        <v>0</v>
      </c>
      <c r="K27" s="95">
        <f>-E27*$G$2</f>
        <v>0</v>
      </c>
      <c r="L27" s="95">
        <f>-E27*$G$1</f>
        <v>0</v>
      </c>
    </row>
    <row r="28" spans="2:12" s="94" customFormat="1" ht="12.75">
      <c r="B28" s="100" t="str">
        <f t="shared" si="1"/>
        <v>Impact - Village Resident</v>
      </c>
      <c r="C28" s="101">
        <f>G28</f>
        <v>-46522.23628432187</v>
      </c>
      <c r="D28" s="101">
        <f>I28</f>
        <v>-44217.018967388816</v>
      </c>
      <c r="E28" s="101">
        <f>K28</f>
        <v>-37397.21552608317</v>
      </c>
      <c r="G28" s="95">
        <f>SUM(G23:G27)</f>
        <v>-46522.23628432187</v>
      </c>
      <c r="H28" s="95"/>
      <c r="I28" s="95">
        <f>SUM(I23:I27)</f>
        <v>-44217.018967388816</v>
      </c>
      <c r="J28" s="95"/>
      <c r="K28" s="95">
        <f>SUM(K23:K27)</f>
        <v>-37397.21552608317</v>
      </c>
      <c r="L28" s="95"/>
    </row>
    <row r="29" spans="2:12" s="94" customFormat="1" ht="12.75">
      <c r="B29" s="100" t="str">
        <f t="shared" si="1"/>
        <v>Impact - TOV Resident</v>
      </c>
      <c r="C29" s="101">
        <f>H29</f>
        <v>-582.7637156781202</v>
      </c>
      <c r="D29" s="101">
        <f>J29</f>
        <v>6612.018967388816</v>
      </c>
      <c r="E29" s="101">
        <f>L29</f>
        <v>27897.215526083168</v>
      </c>
      <c r="G29" s="95"/>
      <c r="H29" s="95">
        <f>SUM(H23:H27)</f>
        <v>-582.7637156781202</v>
      </c>
      <c r="I29" s="95"/>
      <c r="J29" s="95">
        <f>SUM(J23:J27)</f>
        <v>6612.018967388816</v>
      </c>
      <c r="K29" s="95"/>
      <c r="L29" s="95">
        <f>SUM(L23:L27)</f>
        <v>27897.215526083168</v>
      </c>
    </row>
    <row r="30" spans="2:12" s="94" customFormat="1" ht="12.75">
      <c r="B30" s="99"/>
      <c r="C30" s="87"/>
      <c r="D30" s="87"/>
      <c r="E30" s="87"/>
      <c r="H30" s="97"/>
      <c r="J30" s="97"/>
      <c r="L30" s="97"/>
    </row>
    <row r="31" spans="2:12" s="94" customFormat="1" ht="12.75">
      <c r="B31" s="99"/>
      <c r="C31" s="87"/>
      <c r="D31" s="87"/>
      <c r="E31" s="87"/>
      <c r="G31" s="205" t="s">
        <v>59</v>
      </c>
      <c r="H31" s="205"/>
      <c r="I31" s="205" t="s">
        <v>60</v>
      </c>
      <c r="J31" s="205"/>
      <c r="K31" s="205" t="s">
        <v>61</v>
      </c>
      <c r="L31" s="205"/>
    </row>
    <row r="32" spans="1:12" ht="12.75">
      <c r="A32" s="92" t="str">
        <f>Scenarios!A24</f>
        <v>Village Hall</v>
      </c>
      <c r="B32" s="92" t="str">
        <f aca="true" t="shared" si="2" ref="B32:B38">B23</f>
        <v>Current Expenditures</v>
      </c>
      <c r="C32" s="209">
        <f>VillageBudget!J246</f>
        <v>9600</v>
      </c>
      <c r="D32" s="210"/>
      <c r="E32" s="211"/>
      <c r="G32" s="96" t="s">
        <v>440</v>
      </c>
      <c r="H32" s="96" t="s">
        <v>76</v>
      </c>
      <c r="I32" s="96" t="s">
        <v>440</v>
      </c>
      <c r="J32" s="96" t="s">
        <v>76</v>
      </c>
      <c r="K32" s="96" t="s">
        <v>440</v>
      </c>
      <c r="L32" s="96" t="s">
        <v>76</v>
      </c>
    </row>
    <row r="33" spans="2:12" s="94" customFormat="1" ht="12.75">
      <c r="B33" s="93" t="str">
        <f t="shared" si="2"/>
        <v>Total Changes</v>
      </c>
      <c r="C33" s="87">
        <f>Scenarios!B25</f>
        <v>9600</v>
      </c>
      <c r="D33" s="87">
        <f>Scenarios!C26</f>
        <v>0</v>
      </c>
      <c r="E33" s="87">
        <f>Scenarios!D27</f>
        <v>0</v>
      </c>
      <c r="G33" s="95">
        <f>-$C32*$G$1</f>
        <v>-7270.517237625539</v>
      </c>
      <c r="H33" s="95">
        <f>+$C32*$G$1</f>
        <v>7270.517237625539</v>
      </c>
      <c r="I33" s="95">
        <f>-$C32*$G$1</f>
        <v>-7270.517237625539</v>
      </c>
      <c r="J33" s="95">
        <f>+$C32*$G$1</f>
        <v>7270.517237625539</v>
      </c>
      <c r="K33" s="95">
        <f>-$C32*$G$1</f>
        <v>-7270.517237625539</v>
      </c>
      <c r="L33" s="95">
        <f>+$C32*$G$1</f>
        <v>7270.517237625539</v>
      </c>
    </row>
    <row r="34" spans="2:12" ht="12.75">
      <c r="B34" s="98" t="str">
        <f t="shared" si="2"/>
        <v>Special Districts</v>
      </c>
      <c r="C34" s="86">
        <v>0</v>
      </c>
      <c r="D34" s="86">
        <v>0</v>
      </c>
      <c r="E34" s="86">
        <v>0</v>
      </c>
      <c r="G34" s="95">
        <f>C34*$G$1</f>
        <v>0</v>
      </c>
      <c r="H34" s="95">
        <f>-C34*$G$1</f>
        <v>0</v>
      </c>
      <c r="I34" s="95">
        <f>D34*$G$1</f>
        <v>0</v>
      </c>
      <c r="J34" s="95">
        <f>-D34*$G$1</f>
        <v>0</v>
      </c>
      <c r="K34" s="95">
        <f>E34*$G$1</f>
        <v>0</v>
      </c>
      <c r="L34" s="95">
        <f>-E34*$G$1</f>
        <v>0</v>
      </c>
    </row>
    <row r="35" spans="2:12" ht="12.75">
      <c r="B35" s="98" t="str">
        <f t="shared" si="2"/>
        <v>Efficiencies</v>
      </c>
      <c r="C35" s="86">
        <f>C33</f>
        <v>9600</v>
      </c>
      <c r="D35" s="86">
        <f>D33</f>
        <v>0</v>
      </c>
      <c r="E35" s="86">
        <f>E33</f>
        <v>0</v>
      </c>
      <c r="G35" s="95">
        <f>-C35*$G$2</f>
        <v>-2329.482762374461</v>
      </c>
      <c r="H35" s="95">
        <f>-C35*$G$1</f>
        <v>-7270.517237625539</v>
      </c>
      <c r="I35" s="95">
        <f>-D35*$G$2</f>
        <v>0</v>
      </c>
      <c r="J35" s="95">
        <f>-D35*$G$1</f>
        <v>0</v>
      </c>
      <c r="K35" s="95">
        <f>-E35*$G$2</f>
        <v>0</v>
      </c>
      <c r="L35" s="95">
        <f>-E35*$G$1</f>
        <v>0</v>
      </c>
    </row>
    <row r="36" spans="2:12" ht="12.75">
      <c r="B36" s="98" t="str">
        <f t="shared" si="2"/>
        <v>Reduced Services</v>
      </c>
      <c r="C36" s="86">
        <v>0</v>
      </c>
      <c r="D36" s="86">
        <v>0</v>
      </c>
      <c r="E36" s="86">
        <v>0</v>
      </c>
      <c r="G36" s="95">
        <f>-C36*$G$2</f>
        <v>0</v>
      </c>
      <c r="H36" s="95">
        <f>-C36*$G$1</f>
        <v>0</v>
      </c>
      <c r="I36" s="95">
        <f>-D36*$G$2</f>
        <v>0</v>
      </c>
      <c r="J36" s="95">
        <f>-D36*$G$1</f>
        <v>0</v>
      </c>
      <c r="K36" s="95">
        <f>-E36*$G$2</f>
        <v>0</v>
      </c>
      <c r="L36" s="95">
        <f>-E36*$G$1</f>
        <v>0</v>
      </c>
    </row>
    <row r="37" spans="2:12" s="94" customFormat="1" ht="12.75">
      <c r="B37" s="100" t="str">
        <f t="shared" si="2"/>
        <v>Impact - Village Resident</v>
      </c>
      <c r="C37" s="101">
        <f>G37</f>
        <v>-9600</v>
      </c>
      <c r="D37" s="101">
        <f>I37</f>
        <v>-7270.517237625539</v>
      </c>
      <c r="E37" s="101">
        <f>K37</f>
        <v>-7270.517237625539</v>
      </c>
      <c r="G37" s="95">
        <f>SUM(G32:G36)</f>
        <v>-9600</v>
      </c>
      <c r="H37" s="95"/>
      <c r="I37" s="95">
        <f>SUM(I32:I36)</f>
        <v>-7270.517237625539</v>
      </c>
      <c r="J37" s="95"/>
      <c r="K37" s="95">
        <f>SUM(K32:K36)</f>
        <v>-7270.517237625539</v>
      </c>
      <c r="L37" s="95"/>
    </row>
    <row r="38" spans="2:12" s="94" customFormat="1" ht="12.75">
      <c r="B38" s="100" t="str">
        <f t="shared" si="2"/>
        <v>Impact - TOV Resident</v>
      </c>
      <c r="C38" s="101">
        <f>H38</f>
        <v>0</v>
      </c>
      <c r="D38" s="101">
        <f>J38</f>
        <v>7270.517237625539</v>
      </c>
      <c r="E38" s="101">
        <f>L38</f>
        <v>7270.517237625539</v>
      </c>
      <c r="G38" s="95"/>
      <c r="H38" s="95">
        <f>SUM(H32:H36)</f>
        <v>0</v>
      </c>
      <c r="I38" s="95"/>
      <c r="J38" s="95">
        <f>SUM(J32:J36)</f>
        <v>7270.517237625539</v>
      </c>
      <c r="K38" s="95"/>
      <c r="L38" s="95">
        <f>SUM(L32:L36)</f>
        <v>7270.517237625539</v>
      </c>
    </row>
    <row r="39" spans="2:12" s="94" customFormat="1" ht="12.75">
      <c r="B39" s="99"/>
      <c r="C39" s="87"/>
      <c r="D39" s="87"/>
      <c r="E39" s="87"/>
      <c r="H39" s="97"/>
      <c r="J39" s="97"/>
      <c r="L39" s="97"/>
    </row>
    <row r="40" spans="3:12" s="94" customFormat="1" ht="12.75">
      <c r="C40" s="87"/>
      <c r="D40" s="87"/>
      <c r="E40" s="87"/>
      <c r="G40" s="205" t="s">
        <v>59</v>
      </c>
      <c r="H40" s="205"/>
      <c r="I40" s="205" t="s">
        <v>60</v>
      </c>
      <c r="J40" s="205"/>
      <c r="K40" s="205" t="s">
        <v>61</v>
      </c>
      <c r="L40" s="205"/>
    </row>
    <row r="41" spans="1:12" ht="12.75">
      <c r="A41" s="131" t="str">
        <f>Scenarios!A28</f>
        <v>Refuse/Recycling</v>
      </c>
      <c r="B41" s="131" t="str">
        <f aca="true" t="shared" si="3" ref="B41:B47">B32</f>
        <v>Current Expenditures</v>
      </c>
      <c r="C41" s="206">
        <f>VillageBudget!K246</f>
        <v>25500</v>
      </c>
      <c r="D41" s="207"/>
      <c r="E41" s="208"/>
      <c r="G41" s="96" t="s">
        <v>440</v>
      </c>
      <c r="H41" s="96" t="s">
        <v>76</v>
      </c>
      <c r="I41" s="96" t="s">
        <v>440</v>
      </c>
      <c r="J41" s="96" t="s">
        <v>76</v>
      </c>
      <c r="K41" s="96" t="s">
        <v>440</v>
      </c>
      <c r="L41" s="96" t="s">
        <v>76</v>
      </c>
    </row>
    <row r="42" spans="2:12" ht="12.75">
      <c r="B42" s="90" t="str">
        <f t="shared" si="3"/>
        <v>Total Changes</v>
      </c>
      <c r="C42" s="88">
        <f>Scenarios!B29</f>
        <v>25500</v>
      </c>
      <c r="D42" s="89">
        <f>Scenarios!C30</f>
        <v>25500</v>
      </c>
      <c r="E42" s="89">
        <f>Scenarios!D31</f>
        <v>25500</v>
      </c>
      <c r="G42" s="95">
        <f>-$C41*$G$1</f>
        <v>-19312.31141244284</v>
      </c>
      <c r="H42" s="95">
        <f>+$C41*$G$1</f>
        <v>19312.31141244284</v>
      </c>
      <c r="I42" s="95">
        <f>-$C41*$G$1</f>
        <v>-19312.31141244284</v>
      </c>
      <c r="J42" s="95">
        <f>+$C41*$G$1</f>
        <v>19312.31141244284</v>
      </c>
      <c r="K42" s="95">
        <f>-$C41*$G$1</f>
        <v>-19312.31141244284</v>
      </c>
      <c r="L42" s="95">
        <f>+$C41*$G$1</f>
        <v>19312.31141244284</v>
      </c>
    </row>
    <row r="43" spans="2:12" ht="12.75">
      <c r="B43" s="98" t="str">
        <f t="shared" si="3"/>
        <v>Special Districts</v>
      </c>
      <c r="C43" s="86">
        <v>0</v>
      </c>
      <c r="D43" s="86">
        <f>D42</f>
        <v>25500</v>
      </c>
      <c r="E43" s="86">
        <f>E42</f>
        <v>25500</v>
      </c>
      <c r="G43" s="95">
        <f>C43*$G$1</f>
        <v>0</v>
      </c>
      <c r="H43" s="95">
        <f>-C43*$G$1</f>
        <v>0</v>
      </c>
      <c r="I43" s="95">
        <f>D43*$G$1</f>
        <v>19312.31141244284</v>
      </c>
      <c r="J43" s="95">
        <f>-D43*$G$1</f>
        <v>-19312.31141244284</v>
      </c>
      <c r="K43" s="95">
        <f>E43*$G$1</f>
        <v>19312.31141244284</v>
      </c>
      <c r="L43" s="95">
        <f>-E43*$G$1</f>
        <v>-19312.31141244284</v>
      </c>
    </row>
    <row r="44" spans="2:12" ht="12.75">
      <c r="B44" s="98" t="str">
        <f t="shared" si="3"/>
        <v>Efficiencies</v>
      </c>
      <c r="C44" s="86">
        <v>0</v>
      </c>
      <c r="D44" s="86">
        <v>0</v>
      </c>
      <c r="E44" s="86">
        <v>0</v>
      </c>
      <c r="G44" s="95">
        <f>-C44*$G$2</f>
        <v>0</v>
      </c>
      <c r="H44" s="95">
        <f>-C44*$G$1</f>
        <v>0</v>
      </c>
      <c r="I44" s="95">
        <f>-D44*$G$2</f>
        <v>0</v>
      </c>
      <c r="J44" s="95">
        <f>-D44*$G$1</f>
        <v>0</v>
      </c>
      <c r="K44" s="95">
        <f>-E44*$G$2</f>
        <v>0</v>
      </c>
      <c r="L44" s="95">
        <f>-E44*$G$1</f>
        <v>0</v>
      </c>
    </row>
    <row r="45" spans="2:12" ht="12.75">
      <c r="B45" s="98" t="str">
        <f t="shared" si="3"/>
        <v>Reduced Services</v>
      </c>
      <c r="C45" s="86">
        <f>C42</f>
        <v>25500</v>
      </c>
      <c r="D45" s="86">
        <v>0</v>
      </c>
      <c r="E45" s="86">
        <v>0</v>
      </c>
      <c r="G45" s="95">
        <f>-C45*$G$2</f>
        <v>-6187.688587557162</v>
      </c>
      <c r="H45" s="95">
        <f>-C45*$G$1</f>
        <v>-19312.31141244284</v>
      </c>
      <c r="I45" s="95">
        <f>-D45*$G$2</f>
        <v>0</v>
      </c>
      <c r="J45" s="95">
        <f>-D45*$G$1</f>
        <v>0</v>
      </c>
      <c r="K45" s="95">
        <f>-E45*$G$2</f>
        <v>0</v>
      </c>
      <c r="L45" s="95">
        <f>-E45*$G$1</f>
        <v>0</v>
      </c>
    </row>
    <row r="46" spans="2:12" s="94" customFormat="1" ht="12.75">
      <c r="B46" s="100" t="str">
        <f t="shared" si="3"/>
        <v>Impact - Village Resident</v>
      </c>
      <c r="C46" s="101">
        <f>G46</f>
        <v>-25500</v>
      </c>
      <c r="D46" s="101">
        <f>I46</f>
        <v>0</v>
      </c>
      <c r="E46" s="101">
        <f>K46</f>
        <v>0</v>
      </c>
      <c r="G46" s="95">
        <f>SUM(G41:G45)</f>
        <v>-25500</v>
      </c>
      <c r="H46" s="95"/>
      <c r="I46" s="95">
        <f>SUM(I41:I45)</f>
        <v>0</v>
      </c>
      <c r="J46" s="95"/>
      <c r="K46" s="95">
        <f>SUM(K41:K45)</f>
        <v>0</v>
      </c>
      <c r="L46" s="95"/>
    </row>
    <row r="47" spans="2:12" s="94" customFormat="1" ht="12.75">
      <c r="B47" s="100" t="str">
        <f t="shared" si="3"/>
        <v>Impact - TOV Resident</v>
      </c>
      <c r="C47" s="101">
        <f>H47</f>
        <v>0</v>
      </c>
      <c r="D47" s="101">
        <f>J47</f>
        <v>0</v>
      </c>
      <c r="E47" s="101">
        <f>L47</f>
        <v>0</v>
      </c>
      <c r="G47" s="95"/>
      <c r="H47" s="95">
        <f>SUM(H41:H45)</f>
        <v>0</v>
      </c>
      <c r="I47" s="95"/>
      <c r="J47" s="95">
        <f>SUM(J41:J45)</f>
        <v>0</v>
      </c>
      <c r="K47" s="95"/>
      <c r="L47" s="95">
        <f>SUM(L41:L45)</f>
        <v>0</v>
      </c>
    </row>
    <row r="48" spans="2:12" s="94" customFormat="1" ht="12.75">
      <c r="B48" s="100"/>
      <c r="C48" s="101"/>
      <c r="D48" s="101"/>
      <c r="E48" s="101"/>
      <c r="G48" s="95"/>
      <c r="H48" s="95"/>
      <c r="I48" s="95"/>
      <c r="J48" s="95"/>
      <c r="K48" s="95"/>
      <c r="L48" s="95"/>
    </row>
    <row r="49" spans="2:12" s="94" customFormat="1" ht="12.75">
      <c r="B49" s="99"/>
      <c r="C49" s="87"/>
      <c r="D49" s="87"/>
      <c r="E49" s="87"/>
      <c r="G49" s="205" t="s">
        <v>59</v>
      </c>
      <c r="H49" s="205"/>
      <c r="I49" s="205" t="s">
        <v>60</v>
      </c>
      <c r="J49" s="205"/>
      <c r="K49" s="205" t="s">
        <v>61</v>
      </c>
      <c r="L49" s="205"/>
    </row>
    <row r="50" spans="1:12" ht="12.75">
      <c r="A50" s="92" t="str">
        <f>Scenarios!A32</f>
        <v>Street Lighting</v>
      </c>
      <c r="B50" s="92"/>
      <c r="C50" s="209">
        <f>VillageBudget!L246</f>
        <v>29000</v>
      </c>
      <c r="D50" s="210"/>
      <c r="E50" s="211"/>
      <c r="G50" s="96" t="s">
        <v>440</v>
      </c>
      <c r="H50" s="96" t="s">
        <v>76</v>
      </c>
      <c r="I50" s="96" t="s">
        <v>440</v>
      </c>
      <c r="J50" s="96" t="s">
        <v>76</v>
      </c>
      <c r="K50" s="96" t="s">
        <v>440</v>
      </c>
      <c r="L50" s="96" t="s">
        <v>76</v>
      </c>
    </row>
    <row r="51" spans="3:12" ht="12.75">
      <c r="C51" s="89">
        <f>Scenarios!B33</f>
        <v>29000</v>
      </c>
      <c r="D51" s="89">
        <f>Scenarios!C34</f>
        <v>29000</v>
      </c>
      <c r="E51" s="86">
        <f>Scenarios!D35</f>
        <v>0</v>
      </c>
      <c r="G51" s="95">
        <f>-$C50*$G$1</f>
        <v>-21963.020821993818</v>
      </c>
      <c r="H51" s="95">
        <f>+$C50*$G$1</f>
        <v>21963.020821993818</v>
      </c>
      <c r="I51" s="95">
        <f>-$C50*$G$1</f>
        <v>-21963.020821993818</v>
      </c>
      <c r="J51" s="95">
        <f>+$C50*$G$1</f>
        <v>21963.020821993818</v>
      </c>
      <c r="K51" s="95">
        <f>-$C50*$G$1</f>
        <v>-21963.020821993818</v>
      </c>
      <c r="L51" s="95">
        <f>+$C50*$G$1</f>
        <v>21963.020821993818</v>
      </c>
    </row>
    <row r="52" spans="2:12" ht="12.75">
      <c r="B52" s="98" t="str">
        <f>B43</f>
        <v>Special Districts</v>
      </c>
      <c r="C52" s="86">
        <f>C51</f>
        <v>29000</v>
      </c>
      <c r="D52" s="86">
        <f>D51</f>
        <v>29000</v>
      </c>
      <c r="E52" s="86">
        <f>E51</f>
        <v>0</v>
      </c>
      <c r="G52" s="95">
        <f>C52*$G$1</f>
        <v>21963.020821993818</v>
      </c>
      <c r="H52" s="95">
        <f>-C52*$G$1</f>
        <v>-21963.020821993818</v>
      </c>
      <c r="I52" s="95">
        <f>D52*$G$1</f>
        <v>21963.020821993818</v>
      </c>
      <c r="J52" s="95">
        <f>-D52*$G$1</f>
        <v>-21963.020821993818</v>
      </c>
      <c r="K52" s="95">
        <f>E52*$G$1</f>
        <v>0</v>
      </c>
      <c r="L52" s="95">
        <f>-E52*$G$1</f>
        <v>0</v>
      </c>
    </row>
    <row r="53" spans="2:12" ht="12.75">
      <c r="B53" s="98" t="str">
        <f>B44</f>
        <v>Efficiencies</v>
      </c>
      <c r="C53" s="86">
        <v>0</v>
      </c>
      <c r="D53" s="86">
        <v>0</v>
      </c>
      <c r="E53" s="86">
        <v>0</v>
      </c>
      <c r="G53" s="95">
        <f>-C53*$G$2</f>
        <v>0</v>
      </c>
      <c r="H53" s="95">
        <f>-C53*$G$1</f>
        <v>0</v>
      </c>
      <c r="I53" s="95">
        <f>-D53*$G$2</f>
        <v>0</v>
      </c>
      <c r="J53" s="95">
        <f>-D53*$G$1</f>
        <v>0</v>
      </c>
      <c r="K53" s="95">
        <f>-E53*$G$2</f>
        <v>0</v>
      </c>
      <c r="L53" s="95">
        <f>-E53*$G$1</f>
        <v>0</v>
      </c>
    </row>
    <row r="54" spans="2:12" ht="12.75">
      <c r="B54" s="98" t="str">
        <f>B45</f>
        <v>Reduced Services</v>
      </c>
      <c r="C54" s="86">
        <v>0</v>
      </c>
      <c r="D54" s="86">
        <v>0</v>
      </c>
      <c r="E54" s="86">
        <v>0</v>
      </c>
      <c r="G54" s="95">
        <f>-C54*$G$2</f>
        <v>0</v>
      </c>
      <c r="H54" s="95">
        <f>-C54*$G$1</f>
        <v>0</v>
      </c>
      <c r="I54" s="95">
        <f>-D54*$G$2</f>
        <v>0</v>
      </c>
      <c r="J54" s="95">
        <f>-D54*$G$1</f>
        <v>0</v>
      </c>
      <c r="K54" s="95">
        <f>-E54*$G$2</f>
        <v>0</v>
      </c>
      <c r="L54" s="95">
        <f>-E54*$G$1</f>
        <v>0</v>
      </c>
    </row>
    <row r="55" spans="2:12" s="94" customFormat="1" ht="12.75">
      <c r="B55" s="100" t="str">
        <f>B46</f>
        <v>Impact - Village Resident</v>
      </c>
      <c r="C55" s="101">
        <f>G55</f>
        <v>0</v>
      </c>
      <c r="D55" s="101">
        <f>I55</f>
        <v>0</v>
      </c>
      <c r="E55" s="101">
        <f>K55</f>
        <v>-21963.020821993818</v>
      </c>
      <c r="G55" s="95">
        <f>SUM(G50:G54)</f>
        <v>0</v>
      </c>
      <c r="H55" s="95"/>
      <c r="I55" s="95">
        <f>SUM(I50:I54)</f>
        <v>0</v>
      </c>
      <c r="J55" s="95"/>
      <c r="K55" s="95">
        <f>SUM(K50:K54)</f>
        <v>-21963.020821993818</v>
      </c>
      <c r="L55" s="95"/>
    </row>
    <row r="56" spans="2:12" s="94" customFormat="1" ht="12.75">
      <c r="B56" s="100" t="str">
        <f>B47</f>
        <v>Impact - TOV Resident</v>
      </c>
      <c r="C56" s="101">
        <f>H56</f>
        <v>0</v>
      </c>
      <c r="D56" s="101">
        <f>J56</f>
        <v>0</v>
      </c>
      <c r="E56" s="101">
        <f>L56</f>
        <v>21963.020821993818</v>
      </c>
      <c r="G56" s="95"/>
      <c r="H56" s="95">
        <f>SUM(H50:H54)</f>
        <v>0</v>
      </c>
      <c r="I56" s="95"/>
      <c r="J56" s="95">
        <f>SUM(J50:J54)</f>
        <v>0</v>
      </c>
      <c r="K56" s="95"/>
      <c r="L56" s="95">
        <f>SUM(L50:L54)</f>
        <v>21963.020821993818</v>
      </c>
    </row>
    <row r="57" spans="2:12" s="94" customFormat="1" ht="12.75">
      <c r="B57" s="100"/>
      <c r="C57" s="101"/>
      <c r="D57" s="101"/>
      <c r="E57" s="101"/>
      <c r="G57" s="95"/>
      <c r="H57" s="95"/>
      <c r="I57" s="95"/>
      <c r="J57" s="95"/>
      <c r="K57" s="95"/>
      <c r="L57" s="95"/>
    </row>
    <row r="58" spans="3:12" s="94" customFormat="1" ht="12.75">
      <c r="C58" s="87"/>
      <c r="D58" s="87"/>
      <c r="E58" s="87"/>
      <c r="G58" s="205" t="s">
        <v>59</v>
      </c>
      <c r="H58" s="205"/>
      <c r="I58" s="205" t="s">
        <v>60</v>
      </c>
      <c r="J58" s="205"/>
      <c r="K58" s="205" t="s">
        <v>61</v>
      </c>
      <c r="L58" s="205"/>
    </row>
    <row r="59" spans="1:12" ht="12.75">
      <c r="A59" s="92" t="str">
        <f>Scenarios!A36</f>
        <v>Village Debt Service District (+retiree liabilities)</v>
      </c>
      <c r="B59" s="92"/>
      <c r="C59" s="209">
        <f>VillageBudget!M246</f>
        <v>40627</v>
      </c>
      <c r="D59" s="210"/>
      <c r="E59" s="211"/>
      <c r="F59" s="94"/>
      <c r="G59" s="96" t="s">
        <v>440</v>
      </c>
      <c r="H59" s="96" t="s">
        <v>76</v>
      </c>
      <c r="I59" s="96" t="s">
        <v>440</v>
      </c>
      <c r="J59" s="96" t="s">
        <v>76</v>
      </c>
      <c r="K59" s="96" t="s">
        <v>440</v>
      </c>
      <c r="L59" s="96" t="s">
        <v>76</v>
      </c>
    </row>
    <row r="60" spans="3:12" ht="12.75">
      <c r="C60" s="128">
        <f>Scenarios!B37</f>
        <v>40627</v>
      </c>
      <c r="D60" s="128">
        <f>Scenarios!C38</f>
        <v>40627</v>
      </c>
      <c r="E60" s="89">
        <f>Scenarios!D39</f>
        <v>40627</v>
      </c>
      <c r="G60" s="95">
        <f>-$C59*$G$1</f>
        <v>-30768.677480522165</v>
      </c>
      <c r="H60" s="95">
        <f>+$C59*$G$1</f>
        <v>30768.677480522165</v>
      </c>
      <c r="I60" s="95">
        <f>-$C59*$G$1</f>
        <v>-30768.677480522165</v>
      </c>
      <c r="J60" s="95">
        <f>+$C59*$G$1</f>
        <v>30768.677480522165</v>
      </c>
      <c r="K60" s="95">
        <f>-$C59*$G$1</f>
        <v>-30768.677480522165</v>
      </c>
      <c r="L60" s="95">
        <f>+$C59*$G$1</f>
        <v>30768.677480522165</v>
      </c>
    </row>
    <row r="61" spans="2:12" ht="12.75">
      <c r="B61" s="98" t="str">
        <f>B52</f>
        <v>Special Districts</v>
      </c>
      <c r="C61" s="86">
        <v>0</v>
      </c>
      <c r="D61" s="86">
        <v>0</v>
      </c>
      <c r="E61" s="86">
        <f>E60</f>
        <v>40627</v>
      </c>
      <c r="G61" s="95">
        <f>C61*$G$1</f>
        <v>0</v>
      </c>
      <c r="H61" s="95">
        <f>-C61*$G$1</f>
        <v>0</v>
      </c>
      <c r="I61" s="95">
        <f>D61*$G$1</f>
        <v>0</v>
      </c>
      <c r="J61" s="95">
        <f>-D61*$G$1</f>
        <v>0</v>
      </c>
      <c r="K61" s="95">
        <f>E61*$G$1</f>
        <v>30768.677480522165</v>
      </c>
      <c r="L61" s="95">
        <f>-E61*$G$1</f>
        <v>-30768.677480522165</v>
      </c>
    </row>
    <row r="62" spans="2:12" ht="12.75">
      <c r="B62" s="98" t="str">
        <f>B53</f>
        <v>Efficiencies</v>
      </c>
      <c r="C62" s="86">
        <v>0</v>
      </c>
      <c r="D62" s="86">
        <v>0</v>
      </c>
      <c r="E62" s="86">
        <v>0</v>
      </c>
      <c r="G62" s="95">
        <f>-C62*$G$2</f>
        <v>0</v>
      </c>
      <c r="H62" s="95">
        <f>-C62*$G$1</f>
        <v>0</v>
      </c>
      <c r="I62" s="95">
        <f>-D62*$G$2</f>
        <v>0</v>
      </c>
      <c r="J62" s="95">
        <f>-D62*$G$1</f>
        <v>0</v>
      </c>
      <c r="K62" s="95">
        <f>-E62*$G$2</f>
        <v>0</v>
      </c>
      <c r="L62" s="95">
        <f>-E62*$G$1</f>
        <v>0</v>
      </c>
    </row>
    <row r="63" spans="2:12" ht="12.75">
      <c r="B63" s="98" t="str">
        <f>B54</f>
        <v>Reduced Services</v>
      </c>
      <c r="C63" s="87">
        <v>0</v>
      </c>
      <c r="D63" s="86">
        <v>0</v>
      </c>
      <c r="E63" s="86">
        <v>0</v>
      </c>
      <c r="G63" s="95">
        <f>-C63*$G$2</f>
        <v>0</v>
      </c>
      <c r="H63" s="95">
        <f>-C63*$G$1</f>
        <v>0</v>
      </c>
      <c r="I63" s="95">
        <f>-D63*$G$2</f>
        <v>0</v>
      </c>
      <c r="J63" s="95">
        <f>-D63*$G$1</f>
        <v>0</v>
      </c>
      <c r="K63" s="95">
        <f>-E63*$G$2</f>
        <v>0</v>
      </c>
      <c r="L63" s="95">
        <f>-E63*$G$1</f>
        <v>0</v>
      </c>
    </row>
    <row r="64" spans="2:12" ht="12.75">
      <c r="B64" s="130" t="s">
        <v>454</v>
      </c>
      <c r="C64" s="87">
        <v>40627</v>
      </c>
      <c r="D64" s="87">
        <v>40627</v>
      </c>
      <c r="E64" s="87">
        <v>0</v>
      </c>
      <c r="G64" s="95">
        <f>-C64*$G$2</f>
        <v>-9858.322519477835</v>
      </c>
      <c r="H64" s="95">
        <f>-C64*$G$1</f>
        <v>-30768.677480522165</v>
      </c>
      <c r="I64" s="95">
        <f>-D64*$G$2</f>
        <v>-9858.322519477835</v>
      </c>
      <c r="J64" s="95">
        <f>-D64*$G$1</f>
        <v>-30768.677480522165</v>
      </c>
      <c r="K64" s="95">
        <f>-E64*$G$2</f>
        <v>0</v>
      </c>
      <c r="L64" s="95">
        <f>-E64*$G$1</f>
        <v>0</v>
      </c>
    </row>
    <row r="65" spans="2:12" s="94" customFormat="1" ht="12.75">
      <c r="B65" s="100" t="str">
        <f>B55</f>
        <v>Impact - Village Resident</v>
      </c>
      <c r="C65" s="101">
        <f>G65</f>
        <v>-40627</v>
      </c>
      <c r="D65" s="101">
        <f>I65</f>
        <v>-40627</v>
      </c>
      <c r="E65" s="101">
        <f>K65</f>
        <v>0</v>
      </c>
      <c r="G65" s="129">
        <f>SUM(G59:G64)</f>
        <v>-40627</v>
      </c>
      <c r="H65" s="129"/>
      <c r="I65" s="129">
        <f>SUM(I59:I64)</f>
        <v>-40627</v>
      </c>
      <c r="J65" s="129"/>
      <c r="K65" s="129">
        <f>SUM(K59:K64)</f>
        <v>0</v>
      </c>
      <c r="L65" s="129"/>
    </row>
    <row r="66" spans="2:12" s="94" customFormat="1" ht="12.75">
      <c r="B66" s="100" t="str">
        <f>B56</f>
        <v>Impact - TOV Resident</v>
      </c>
      <c r="C66" s="101">
        <f>H66</f>
        <v>0</v>
      </c>
      <c r="D66" s="101">
        <f>J66</f>
        <v>0</v>
      </c>
      <c r="E66" s="101">
        <f>L66</f>
        <v>0</v>
      </c>
      <c r="G66" s="95"/>
      <c r="H66" s="95">
        <f>SUM(H59:H65)</f>
        <v>0</v>
      </c>
      <c r="I66" s="95"/>
      <c r="J66" s="95">
        <f>SUM(J59:J65)</f>
        <v>0</v>
      </c>
      <c r="K66" s="95"/>
      <c r="L66" s="95">
        <f>SUM(L59:L65)</f>
        <v>0</v>
      </c>
    </row>
    <row r="67" spans="3:5" s="94" customFormat="1" ht="12.75">
      <c r="C67" s="87"/>
      <c r="D67" s="87"/>
      <c r="E67" s="87"/>
    </row>
    <row r="68" spans="3:12" s="94" customFormat="1" ht="12.75">
      <c r="C68" s="87"/>
      <c r="D68" s="87"/>
      <c r="E68" s="87"/>
      <c r="G68" s="205" t="s">
        <v>59</v>
      </c>
      <c r="H68" s="205"/>
      <c r="I68" s="205" t="s">
        <v>60</v>
      </c>
      <c r="J68" s="205"/>
      <c r="K68" s="205" t="s">
        <v>61</v>
      </c>
      <c r="L68" s="205"/>
    </row>
    <row r="69" spans="1:12" ht="12.75">
      <c r="A69" s="131" t="str">
        <f>Scenarios!A40</f>
        <v>Sidewalks Snow Removal</v>
      </c>
      <c r="B69" s="131"/>
      <c r="C69" s="206">
        <f>VillageBudget!N246</f>
        <v>6000</v>
      </c>
      <c r="D69" s="207"/>
      <c r="E69" s="208"/>
      <c r="G69" s="96" t="s">
        <v>440</v>
      </c>
      <c r="H69" s="96" t="s">
        <v>76</v>
      </c>
      <c r="I69" s="96" t="s">
        <v>440</v>
      </c>
      <c r="J69" s="96" t="s">
        <v>76</v>
      </c>
      <c r="K69" s="96" t="s">
        <v>440</v>
      </c>
      <c r="L69" s="96" t="s">
        <v>76</v>
      </c>
    </row>
    <row r="70" spans="3:12" ht="12.75">
      <c r="C70" s="88">
        <f>Scenarios!B41</f>
        <v>6000</v>
      </c>
      <c r="D70" s="89">
        <f>Scenarios!C42</f>
        <v>6000</v>
      </c>
      <c r="E70" s="89">
        <f>Scenarios!D43</f>
        <v>6000</v>
      </c>
      <c r="G70" s="95">
        <f>-$C69*$G$1</f>
        <v>-4544.073273515962</v>
      </c>
      <c r="H70" s="95">
        <f>+$C69*$G$1</f>
        <v>4544.073273515962</v>
      </c>
      <c r="I70" s="95">
        <f>-$C69*$G$1</f>
        <v>-4544.073273515962</v>
      </c>
      <c r="J70" s="95">
        <f>+$C69*$G$1</f>
        <v>4544.073273515962</v>
      </c>
      <c r="K70" s="95">
        <f>-$C69*$G$1</f>
        <v>-4544.073273515962</v>
      </c>
      <c r="L70" s="95">
        <f>+$C69*$G$1</f>
        <v>4544.073273515962</v>
      </c>
    </row>
    <row r="71" spans="2:12" ht="12.75">
      <c r="B71" s="98" t="str">
        <f>B61</f>
        <v>Special Districts</v>
      </c>
      <c r="C71" s="86">
        <v>0</v>
      </c>
      <c r="D71" s="86">
        <f>D70</f>
        <v>6000</v>
      </c>
      <c r="E71" s="86">
        <f>E70</f>
        <v>6000</v>
      </c>
      <c r="G71" s="95">
        <f>C71*$G$1</f>
        <v>0</v>
      </c>
      <c r="H71" s="95">
        <f>-C71*$G$1</f>
        <v>0</v>
      </c>
      <c r="I71" s="95">
        <f>D71*$G$1</f>
        <v>4544.073273515962</v>
      </c>
      <c r="J71" s="95">
        <f>-D71*$G$1</f>
        <v>-4544.073273515962</v>
      </c>
      <c r="K71" s="95">
        <f>E71*$G$1</f>
        <v>4544.073273515962</v>
      </c>
      <c r="L71" s="95">
        <f>-E71*$G$1</f>
        <v>-4544.073273515962</v>
      </c>
    </row>
    <row r="72" spans="2:12" ht="12.75">
      <c r="B72" s="98" t="str">
        <f>B62</f>
        <v>Efficiencies</v>
      </c>
      <c r="C72" s="86">
        <v>0</v>
      </c>
      <c r="D72" s="86">
        <v>0</v>
      </c>
      <c r="E72" s="86">
        <v>0</v>
      </c>
      <c r="G72" s="95">
        <f>-C72*$G$2</f>
        <v>0</v>
      </c>
      <c r="H72" s="95">
        <f>-C72*$G$1</f>
        <v>0</v>
      </c>
      <c r="I72" s="95">
        <f>-D72*$G$2</f>
        <v>0</v>
      </c>
      <c r="J72" s="95">
        <f>-D72*$G$1</f>
        <v>0</v>
      </c>
      <c r="K72" s="95">
        <f>-E72*$G$2</f>
        <v>0</v>
      </c>
      <c r="L72" s="95">
        <f>-E72*$G$1</f>
        <v>0</v>
      </c>
    </row>
    <row r="73" spans="2:12" ht="12.75">
      <c r="B73" s="98" t="str">
        <f>B63</f>
        <v>Reduced Services</v>
      </c>
      <c r="C73" s="86">
        <f>C70</f>
        <v>6000</v>
      </c>
      <c r="D73" s="86">
        <v>0</v>
      </c>
      <c r="E73" s="86">
        <v>0</v>
      </c>
      <c r="G73" s="95">
        <f>-C73*$G$2</f>
        <v>-1455.926726484038</v>
      </c>
      <c r="H73" s="95">
        <f>-C73*$G$1</f>
        <v>-4544.073273515962</v>
      </c>
      <c r="I73" s="95">
        <f>-D73*$G$2</f>
        <v>0</v>
      </c>
      <c r="J73" s="95">
        <f>-D73*$G$1</f>
        <v>0</v>
      </c>
      <c r="K73" s="95">
        <f>-E73*$G$2</f>
        <v>0</v>
      </c>
      <c r="L73" s="95">
        <f>-E73*$G$1</f>
        <v>0</v>
      </c>
    </row>
    <row r="74" spans="2:12" s="94" customFormat="1" ht="12.75">
      <c r="B74" s="100" t="str">
        <f>B65</f>
        <v>Impact - Village Resident</v>
      </c>
      <c r="C74" s="101">
        <f>G74</f>
        <v>-6000</v>
      </c>
      <c r="D74" s="101">
        <f>I74</f>
        <v>0</v>
      </c>
      <c r="E74" s="101">
        <f>K74</f>
        <v>0</v>
      </c>
      <c r="G74" s="95">
        <f>SUM(G69:G73)</f>
        <v>-6000</v>
      </c>
      <c r="H74" s="95"/>
      <c r="I74" s="95">
        <f>SUM(I69:I73)</f>
        <v>0</v>
      </c>
      <c r="J74" s="95"/>
      <c r="K74" s="95">
        <f>SUM(K69:K73)</f>
        <v>0</v>
      </c>
      <c r="L74" s="95"/>
    </row>
    <row r="75" spans="2:12" s="94" customFormat="1" ht="12.75">
      <c r="B75" s="100" t="str">
        <f>B66</f>
        <v>Impact - TOV Resident</v>
      </c>
      <c r="C75" s="101">
        <f>H75</f>
        <v>0</v>
      </c>
      <c r="D75" s="101">
        <f>J75</f>
        <v>0</v>
      </c>
      <c r="E75" s="101">
        <f>L75</f>
        <v>0</v>
      </c>
      <c r="G75" s="95"/>
      <c r="H75" s="95">
        <f>SUM(H69:H73)</f>
        <v>0</v>
      </c>
      <c r="I75" s="95"/>
      <c r="J75" s="95">
        <f>SUM(J69:J73)</f>
        <v>0</v>
      </c>
      <c r="K75" s="95"/>
      <c r="L75" s="95">
        <f>SUM(L69:L73)</f>
        <v>0</v>
      </c>
    </row>
    <row r="76" spans="3:5" s="94" customFormat="1" ht="12.75">
      <c r="C76" s="87"/>
      <c r="D76" s="87"/>
      <c r="E76" s="87"/>
    </row>
    <row r="77" spans="3:12" s="94" customFormat="1" ht="12.75">
      <c r="C77" s="87"/>
      <c r="D77" s="87"/>
      <c r="E77" s="87"/>
      <c r="G77" s="205" t="s">
        <v>59</v>
      </c>
      <c r="H77" s="205"/>
      <c r="I77" s="205" t="s">
        <v>60</v>
      </c>
      <c r="J77" s="205"/>
      <c r="K77" s="205" t="s">
        <v>61</v>
      </c>
      <c r="L77" s="205"/>
    </row>
    <row r="78" spans="1:12" ht="12.75">
      <c r="A78" s="92" t="str">
        <f>Scenarios!A44</f>
        <v>Fire Services</v>
      </c>
      <c r="B78" s="92"/>
      <c r="C78" s="209">
        <f>VillageBudget!O246</f>
        <v>85341</v>
      </c>
      <c r="D78" s="210"/>
      <c r="E78" s="211"/>
      <c r="G78" s="96" t="s">
        <v>440</v>
      </c>
      <c r="H78" s="96" t="s">
        <v>76</v>
      </c>
      <c r="I78" s="96" t="s">
        <v>440</v>
      </c>
      <c r="J78" s="96" t="s">
        <v>76</v>
      </c>
      <c r="K78" s="96" t="s">
        <v>440</v>
      </c>
      <c r="L78" s="96" t="s">
        <v>76</v>
      </c>
    </row>
    <row r="79" spans="3:12" ht="12.75">
      <c r="C79" s="89">
        <f>Scenarios!B45</f>
        <v>85341</v>
      </c>
      <c r="D79" s="89">
        <f>Scenarios!C46</f>
        <v>85341</v>
      </c>
      <c r="E79" s="89">
        <f>Scenarios!D47</f>
        <v>85341</v>
      </c>
      <c r="G79" s="95">
        <f>-$C78*$G$1</f>
        <v>-64632.626205854285</v>
      </c>
      <c r="H79" s="95">
        <f>+$C78*$G$1</f>
        <v>64632.626205854285</v>
      </c>
      <c r="I79" s="95">
        <f>-$C78*$G$1</f>
        <v>-64632.626205854285</v>
      </c>
      <c r="J79" s="95">
        <f>+$C78*$G$1</f>
        <v>64632.626205854285</v>
      </c>
      <c r="K79" s="95">
        <f>-$C78*$G$1</f>
        <v>-64632.626205854285</v>
      </c>
      <c r="L79" s="95">
        <f>+$C78*$G$1</f>
        <v>64632.626205854285</v>
      </c>
    </row>
    <row r="80" spans="2:12" ht="12.75">
      <c r="B80" s="98" t="str">
        <f>B71</f>
        <v>Special Districts</v>
      </c>
      <c r="C80" s="86">
        <f>C79</f>
        <v>85341</v>
      </c>
      <c r="D80" s="86">
        <f>D79</f>
        <v>85341</v>
      </c>
      <c r="E80" s="86">
        <f>E79</f>
        <v>85341</v>
      </c>
      <c r="G80" s="95">
        <f>C80*$G$1</f>
        <v>64632.626205854285</v>
      </c>
      <c r="H80" s="95">
        <f>-C80*$G$1</f>
        <v>-64632.626205854285</v>
      </c>
      <c r="I80" s="95">
        <f>D80*$G$1</f>
        <v>64632.626205854285</v>
      </c>
      <c r="J80" s="95">
        <f>-D80*$G$1</f>
        <v>-64632.626205854285</v>
      </c>
      <c r="K80" s="95">
        <f>E80*$G$1</f>
        <v>64632.626205854285</v>
      </c>
      <c r="L80" s="95">
        <f>-E80*$G$1</f>
        <v>-64632.626205854285</v>
      </c>
    </row>
    <row r="81" spans="2:12" ht="12.75">
      <c r="B81" s="98" t="str">
        <f>B72</f>
        <v>Efficiencies</v>
      </c>
      <c r="C81" s="86">
        <v>0</v>
      </c>
      <c r="D81" s="86">
        <v>0</v>
      </c>
      <c r="E81" s="86">
        <v>0</v>
      </c>
      <c r="G81" s="95">
        <f>-C81*$G$2</f>
        <v>0</v>
      </c>
      <c r="H81" s="95">
        <f>-C81*$G$1</f>
        <v>0</v>
      </c>
      <c r="I81" s="95">
        <f>-D81*$G$2</f>
        <v>0</v>
      </c>
      <c r="J81" s="95">
        <f>-D81*$G$1</f>
        <v>0</v>
      </c>
      <c r="K81" s="95">
        <f>-E81*$G$2</f>
        <v>0</v>
      </c>
      <c r="L81" s="95">
        <f>-E81*$G$1</f>
        <v>0</v>
      </c>
    </row>
    <row r="82" spans="2:12" ht="12.75">
      <c r="B82" s="98" t="str">
        <f>B73</f>
        <v>Reduced Services</v>
      </c>
      <c r="C82" s="86">
        <v>0</v>
      </c>
      <c r="D82" s="86">
        <v>0</v>
      </c>
      <c r="E82" s="86">
        <v>0</v>
      </c>
      <c r="G82" s="95">
        <f>-C82*$G$2</f>
        <v>0</v>
      </c>
      <c r="H82" s="95">
        <f>-C82*$G$1</f>
        <v>0</v>
      </c>
      <c r="I82" s="95">
        <f>-D82*$G$2</f>
        <v>0</v>
      </c>
      <c r="J82" s="95">
        <f>-D82*$G$1</f>
        <v>0</v>
      </c>
      <c r="K82" s="95">
        <f>-E82*$G$2</f>
        <v>0</v>
      </c>
      <c r="L82" s="95">
        <f>-E82*$G$1</f>
        <v>0</v>
      </c>
    </row>
    <row r="83" spans="2:12" s="94" customFormat="1" ht="12.75">
      <c r="B83" s="100" t="str">
        <f>B74</f>
        <v>Impact - Village Resident</v>
      </c>
      <c r="C83" s="101">
        <f>G83</f>
        <v>0</v>
      </c>
      <c r="D83" s="101">
        <f>I83</f>
        <v>0</v>
      </c>
      <c r="E83" s="101">
        <f>K83</f>
        <v>0</v>
      </c>
      <c r="G83" s="95">
        <f>SUM(G78:G82)</f>
        <v>0</v>
      </c>
      <c r="H83" s="95"/>
      <c r="I83" s="95">
        <f>SUM(I78:I82)</f>
        <v>0</v>
      </c>
      <c r="J83" s="95"/>
      <c r="K83" s="95">
        <f>SUM(K78:K82)</f>
        <v>0</v>
      </c>
      <c r="L83" s="95"/>
    </row>
    <row r="84" spans="2:12" s="94" customFormat="1" ht="12.75">
      <c r="B84" s="100" t="str">
        <f>B75</f>
        <v>Impact - TOV Resident</v>
      </c>
      <c r="C84" s="101">
        <f>H84</f>
        <v>0</v>
      </c>
      <c r="D84" s="101">
        <f>J84</f>
        <v>0</v>
      </c>
      <c r="E84" s="101">
        <f>L84</f>
        <v>0</v>
      </c>
      <c r="G84" s="95"/>
      <c r="H84" s="95">
        <f>SUM(H78:H82)</f>
        <v>0</v>
      </c>
      <c r="I84" s="95"/>
      <c r="J84" s="95">
        <f>SUM(J78:J82)</f>
        <v>0</v>
      </c>
      <c r="K84" s="95"/>
      <c r="L84" s="95">
        <f>SUM(L78:L82)</f>
        <v>0</v>
      </c>
    </row>
    <row r="85" spans="3:5" s="94" customFormat="1" ht="12.75">
      <c r="C85" s="87"/>
      <c r="D85" s="87"/>
      <c r="E85" s="87"/>
    </row>
    <row r="86" spans="3:5" s="94" customFormat="1" ht="12.75">
      <c r="C86" s="87"/>
      <c r="D86" s="87"/>
      <c r="E86" s="87"/>
    </row>
    <row r="87" spans="1:5" ht="12.75">
      <c r="A87" s="92" t="str">
        <f>Scenarios!A48</f>
        <v>Totals</v>
      </c>
      <c r="B87" s="92"/>
      <c r="C87" s="209"/>
      <c r="D87" s="210"/>
      <c r="E87" s="211"/>
    </row>
    <row r="88" spans="3:5" ht="12.75">
      <c r="C88" s="86">
        <f>Scenarios!B49</f>
        <v>340137</v>
      </c>
      <c r="D88" s="86">
        <f>Scenarios!C50</f>
        <v>276037</v>
      </c>
      <c r="E88" s="86">
        <f>Scenarios!D51</f>
        <v>198932</v>
      </c>
    </row>
    <row r="89" spans="2:5" ht="12.75">
      <c r="B89" s="98" t="str">
        <f>B80</f>
        <v>Special Districts</v>
      </c>
      <c r="C89" s="86">
        <f aca="true" t="shared" si="4" ref="C89:E91">C7+C16+C25+C34+C43+C52+C61+C71+C80</f>
        <v>114341</v>
      </c>
      <c r="D89" s="86">
        <f t="shared" si="4"/>
        <v>145841</v>
      </c>
      <c r="E89" s="86">
        <f t="shared" si="4"/>
        <v>157468</v>
      </c>
    </row>
    <row r="90" spans="2:5" ht="12.75">
      <c r="B90" s="98" t="str">
        <f>B81</f>
        <v>Efficiencies</v>
      </c>
      <c r="C90" s="86">
        <f t="shared" si="4"/>
        <v>153669</v>
      </c>
      <c r="D90" s="86">
        <f t="shared" si="4"/>
        <v>89569</v>
      </c>
      <c r="E90" s="86">
        <f t="shared" si="4"/>
        <v>41464</v>
      </c>
    </row>
    <row r="91" spans="2:5" ht="12.75">
      <c r="B91" s="98" t="str">
        <f>B82</f>
        <v>Reduced Services</v>
      </c>
      <c r="C91" s="86">
        <f t="shared" si="4"/>
        <v>31500</v>
      </c>
      <c r="D91" s="86">
        <f t="shared" si="4"/>
        <v>0</v>
      </c>
      <c r="E91" s="86">
        <f t="shared" si="4"/>
        <v>0</v>
      </c>
    </row>
    <row r="92" spans="2:5" ht="12.75">
      <c r="B92" s="98" t="str">
        <f>B64</f>
        <v>Use of Fund Balance</v>
      </c>
      <c r="C92" s="86">
        <f>C64</f>
        <v>40627</v>
      </c>
      <c r="D92" s="86">
        <f>D64</f>
        <v>40627</v>
      </c>
      <c r="E92" s="86">
        <f>E64</f>
        <v>0</v>
      </c>
    </row>
    <row r="93" spans="2:5" ht="12.75">
      <c r="B93" s="100" t="str">
        <f>B83</f>
        <v>Impact - Village Resident</v>
      </c>
      <c r="C93" s="107">
        <f aca="true" t="shared" si="5" ref="C93:E94">C10+C19+C28+C37+C46+C55+C65+C74+C83</f>
        <v>-445801.6291733955</v>
      </c>
      <c r="D93" s="107">
        <f t="shared" si="5"/>
        <v>-398747.47864545777</v>
      </c>
      <c r="E93" s="107">
        <f t="shared" si="5"/>
        <v>-368410.6069378658</v>
      </c>
    </row>
    <row r="94" spans="2:5" ht="12.75">
      <c r="B94" s="100" t="str">
        <f>B84</f>
        <v>Impact - TOV Resident</v>
      </c>
      <c r="C94" s="107">
        <f t="shared" si="5"/>
        <v>220005.62917339554</v>
      </c>
      <c r="D94" s="107">
        <f t="shared" si="5"/>
        <v>268551.4786454577</v>
      </c>
      <c r="E94" s="107">
        <f t="shared" si="5"/>
        <v>326946.6069378658</v>
      </c>
    </row>
  </sheetData>
  <sheetProtection formatCells="0" formatColumns="0" formatRows="0" insertColumns="0" insertRows="0" insertHyperlinks="0" deleteColumns="0" deleteRows="0" selectLockedCells="1" sort="0" autoFilter="0" pivotTables="0"/>
  <mergeCells count="39">
    <mergeCell ref="I4:J4"/>
    <mergeCell ref="K4:L4"/>
    <mergeCell ref="C3:E3"/>
    <mergeCell ref="C5:E5"/>
    <mergeCell ref="A1:E1"/>
    <mergeCell ref="G4:H4"/>
    <mergeCell ref="C14:E14"/>
    <mergeCell ref="G13:H13"/>
    <mergeCell ref="I13:J13"/>
    <mergeCell ref="K13:L13"/>
    <mergeCell ref="G22:H22"/>
    <mergeCell ref="I22:J22"/>
    <mergeCell ref="K22:L22"/>
    <mergeCell ref="C23:E23"/>
    <mergeCell ref="C32:E32"/>
    <mergeCell ref="G31:H31"/>
    <mergeCell ref="I31:J31"/>
    <mergeCell ref="K31:L31"/>
    <mergeCell ref="C41:E41"/>
    <mergeCell ref="I40:J40"/>
    <mergeCell ref="K40:L40"/>
    <mergeCell ref="I49:J49"/>
    <mergeCell ref="K49:L49"/>
    <mergeCell ref="I58:J58"/>
    <mergeCell ref="K58:L58"/>
    <mergeCell ref="C78:E78"/>
    <mergeCell ref="C87:E87"/>
    <mergeCell ref="G40:H40"/>
    <mergeCell ref="G49:H49"/>
    <mergeCell ref="G58:H58"/>
    <mergeCell ref="G68:H68"/>
    <mergeCell ref="C50:E50"/>
    <mergeCell ref="C59:E59"/>
    <mergeCell ref="I68:J68"/>
    <mergeCell ref="K68:L68"/>
    <mergeCell ref="G77:H77"/>
    <mergeCell ref="I77:J77"/>
    <mergeCell ref="K77:L77"/>
    <mergeCell ref="C69:E69"/>
  </mergeCells>
  <conditionalFormatting sqref="C12:E13 C21:E22 C30:E31 C39:E39 C49:E49">
    <cfRule type="cellIs" priority="1" dxfId="0" operator="notEqual" stopIfTrue="1">
      <formula>0</formula>
    </cfRule>
  </conditionalFormatting>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O33"/>
  <sheetViews>
    <sheetView zoomScalePageLayoutView="0" workbookViewId="0" topLeftCell="A1">
      <selection activeCell="M20" sqref="M20:O20"/>
    </sheetView>
  </sheetViews>
  <sheetFormatPr defaultColWidth="9.140625" defaultRowHeight="12.75"/>
  <cols>
    <col min="1" max="1" width="23.8515625" style="0" bestFit="1" customWidth="1"/>
    <col min="2" max="4" width="18.57421875" style="0" customWidth="1"/>
    <col min="10" max="11" width="15.140625" style="0" customWidth="1"/>
  </cols>
  <sheetData>
    <row r="1" spans="1:4" ht="12.75">
      <c r="A1" s="204" t="s">
        <v>507</v>
      </c>
      <c r="B1" s="204"/>
      <c r="C1" s="204"/>
      <c r="D1" s="204"/>
    </row>
    <row r="2" spans="1:4" ht="12.75">
      <c r="A2" s="17"/>
      <c r="B2" s="25" t="s">
        <v>49</v>
      </c>
      <c r="C2" s="25" t="s">
        <v>50</v>
      </c>
      <c r="D2" s="25" t="s">
        <v>65</v>
      </c>
    </row>
    <row r="3" spans="1:4" ht="12.75">
      <c r="A3" s="17" t="s">
        <v>51</v>
      </c>
      <c r="B3" s="5">
        <v>1681858</v>
      </c>
      <c r="C3" s="5">
        <v>617204</v>
      </c>
      <c r="D3" s="5">
        <f>B3+C3</f>
        <v>2299062</v>
      </c>
    </row>
    <row r="4" spans="1:4" ht="12.75">
      <c r="A4" s="17" t="s">
        <v>56</v>
      </c>
      <c r="B4" s="5">
        <v>24280</v>
      </c>
      <c r="C4" s="5">
        <v>351892</v>
      </c>
      <c r="D4" s="5">
        <f>B4+C4</f>
        <v>376172</v>
      </c>
    </row>
    <row r="5" spans="1:4" ht="12.75">
      <c r="A5" s="17" t="s">
        <v>64</v>
      </c>
      <c r="B5" s="5">
        <f>B3+B4</f>
        <v>1706138</v>
      </c>
      <c r="C5" s="5">
        <f>C3+C4</f>
        <v>969096</v>
      </c>
      <c r="D5" s="5">
        <f>B5+C5</f>
        <v>2675234</v>
      </c>
    </row>
    <row r="6" spans="1:5" ht="12.75">
      <c r="A6" s="17" t="s">
        <v>57</v>
      </c>
      <c r="B6" s="5">
        <f>776331-C6</f>
        <v>464101</v>
      </c>
      <c r="C6" s="5">
        <f>279230+33000</f>
        <v>312230</v>
      </c>
      <c r="D6" s="5">
        <f>B6+C6</f>
        <v>776331</v>
      </c>
      <c r="E6" t="s">
        <v>58</v>
      </c>
    </row>
    <row r="7" spans="1:4" ht="12.75">
      <c r="A7" s="17" t="s">
        <v>73</v>
      </c>
      <c r="B7" s="5">
        <f>B5+B6</f>
        <v>2170239</v>
      </c>
      <c r="C7" s="5">
        <f>C5+C6</f>
        <v>1281326</v>
      </c>
      <c r="D7" s="5">
        <f>B7+C7</f>
        <v>3451565</v>
      </c>
    </row>
    <row r="8" spans="1:5" ht="12.75">
      <c r="A8" s="214" t="s">
        <v>508</v>
      </c>
      <c r="B8" s="215"/>
      <c r="C8" s="215"/>
      <c r="D8" s="216"/>
      <c r="E8" t="s">
        <v>509</v>
      </c>
    </row>
    <row r="9" spans="1:4" ht="12.75">
      <c r="A9" s="26" t="s">
        <v>59</v>
      </c>
      <c r="B9" s="5">
        <f>Scenarios!H20</f>
        <v>214637</v>
      </c>
      <c r="C9" s="5">
        <f>Scenarios!H19</f>
        <v>125500</v>
      </c>
      <c r="D9" s="5">
        <f>B9+C9</f>
        <v>340137</v>
      </c>
    </row>
    <row r="10" spans="1:4" ht="12.75">
      <c r="A10" s="26" t="s">
        <v>60</v>
      </c>
      <c r="B10" s="5">
        <f>Scenarios!I20</f>
        <v>195537</v>
      </c>
      <c r="C10" s="5">
        <f>Scenarios!I19</f>
        <v>80500</v>
      </c>
      <c r="D10" s="5">
        <f>B10+C10</f>
        <v>276037</v>
      </c>
    </row>
    <row r="11" spans="1:4" ht="12.75">
      <c r="A11" s="26" t="s">
        <v>61</v>
      </c>
      <c r="B11" s="5">
        <f>Scenarios!J20</f>
        <v>167432</v>
      </c>
      <c r="C11" s="5">
        <f>Scenarios!J19</f>
        <v>31500</v>
      </c>
      <c r="D11" s="5">
        <f>B11+C11</f>
        <v>198932</v>
      </c>
    </row>
    <row r="12" spans="1:4" ht="12.75">
      <c r="A12" s="214" t="s">
        <v>506</v>
      </c>
      <c r="B12" s="215"/>
      <c r="C12" s="215"/>
      <c r="D12" s="216"/>
    </row>
    <row r="13" spans="1:4" ht="12.75">
      <c r="A13" s="26" t="s">
        <v>59</v>
      </c>
      <c r="B13" s="5">
        <f aca="true" t="shared" si="0" ref="B13:C15">B$7-B9</f>
        <v>1955602</v>
      </c>
      <c r="C13" s="5">
        <f t="shared" si="0"/>
        <v>1155826</v>
      </c>
      <c r="D13" s="5">
        <f>B13+C13</f>
        <v>3111428</v>
      </c>
    </row>
    <row r="14" spans="1:4" ht="12.75">
      <c r="A14" s="26" t="s">
        <v>60</v>
      </c>
      <c r="B14" s="5">
        <f t="shared" si="0"/>
        <v>1974702</v>
      </c>
      <c r="C14" s="5">
        <f t="shared" si="0"/>
        <v>1200826</v>
      </c>
      <c r="D14" s="5">
        <f>B14+C14</f>
        <v>3175528</v>
      </c>
    </row>
    <row r="15" spans="1:4" ht="12.75">
      <c r="A15" s="26" t="s">
        <v>61</v>
      </c>
      <c r="B15" s="5">
        <f t="shared" si="0"/>
        <v>2002807</v>
      </c>
      <c r="C15" s="5">
        <f t="shared" si="0"/>
        <v>1249826</v>
      </c>
      <c r="D15" s="5">
        <f>B15+C15</f>
        <v>3252633</v>
      </c>
    </row>
    <row r="19" spans="6:11" ht="12.75">
      <c r="F19" s="8"/>
      <c r="G19" s="8"/>
      <c r="H19" s="8"/>
      <c r="I19" s="8"/>
      <c r="J19" s="8"/>
      <c r="K19" s="8"/>
    </row>
    <row r="20" spans="13:15" ht="12.75">
      <c r="M20" s="8"/>
      <c r="N20" s="8"/>
      <c r="O20" s="8"/>
    </row>
    <row r="27" spans="1:4" ht="12.75">
      <c r="A27" s="217" t="s">
        <v>455</v>
      </c>
      <c r="B27" s="217"/>
      <c r="C27" s="217"/>
      <c r="D27" s="217"/>
    </row>
    <row r="28" spans="1:11" ht="12.75">
      <c r="A28" s="214" t="s">
        <v>62</v>
      </c>
      <c r="B28" s="215"/>
      <c r="C28" s="215"/>
      <c r="D28" s="216"/>
      <c r="F28" s="8"/>
      <c r="G28" s="8"/>
      <c r="H28" s="8"/>
      <c r="I28" s="8"/>
      <c r="J28" s="8"/>
      <c r="K28" s="8"/>
    </row>
    <row r="29" spans="1:11" ht="12.75">
      <c r="A29" s="112" t="s">
        <v>63</v>
      </c>
      <c r="B29" s="6">
        <v>303600</v>
      </c>
      <c r="C29" s="6">
        <v>0</v>
      </c>
      <c r="D29" s="6">
        <f>B29+C29</f>
        <v>303600</v>
      </c>
      <c r="F29" s="8"/>
      <c r="G29" s="8"/>
      <c r="H29" s="8"/>
      <c r="I29" s="8"/>
      <c r="J29" s="8"/>
      <c r="K29" s="8"/>
    </row>
    <row r="30" spans="1:4" ht="12.75">
      <c r="A30" s="113" t="s">
        <v>59</v>
      </c>
      <c r="B30" s="6">
        <f aca="true" t="shared" si="1" ref="B30:C32">B13-B$29</f>
        <v>1652002</v>
      </c>
      <c r="C30" s="6">
        <f t="shared" si="1"/>
        <v>1155826</v>
      </c>
      <c r="D30" s="6">
        <f>B30+C30</f>
        <v>2807828</v>
      </c>
    </row>
    <row r="31" spans="1:4" ht="12.75">
      <c r="A31" s="113" t="s">
        <v>60</v>
      </c>
      <c r="B31" s="6">
        <f t="shared" si="1"/>
        <v>1671102</v>
      </c>
      <c r="C31" s="6">
        <f t="shared" si="1"/>
        <v>1200826</v>
      </c>
      <c r="D31" s="6">
        <f>B31+C31</f>
        <v>2871928</v>
      </c>
    </row>
    <row r="32" spans="1:4" ht="12.75">
      <c r="A32" s="113" t="s">
        <v>61</v>
      </c>
      <c r="B32" s="6">
        <f t="shared" si="1"/>
        <v>1699207</v>
      </c>
      <c r="C32" s="6">
        <f t="shared" si="1"/>
        <v>1249826</v>
      </c>
      <c r="D32" s="6">
        <f>B32+C32</f>
        <v>2949033</v>
      </c>
    </row>
    <row r="33" spans="1:4" ht="12.75">
      <c r="A33" s="2"/>
      <c r="B33" s="2"/>
      <c r="C33" s="2"/>
      <c r="D33" s="2"/>
    </row>
  </sheetData>
  <sheetProtection/>
  <mergeCells count="5">
    <mergeCell ref="A1:D1"/>
    <mergeCell ref="A8:D8"/>
    <mergeCell ref="A12:D12"/>
    <mergeCell ref="A28:D28"/>
    <mergeCell ref="A27:D2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G13" sqref="G13"/>
    </sheetView>
  </sheetViews>
  <sheetFormatPr defaultColWidth="9.140625" defaultRowHeight="12.75"/>
  <cols>
    <col min="1" max="1" width="24.00390625" style="0" bestFit="1" customWidth="1"/>
    <col min="2" max="4" width="15.00390625" style="0" customWidth="1"/>
    <col min="7" max="7" width="30.421875" style="0" bestFit="1" customWidth="1"/>
    <col min="8" max="9" width="12.140625" style="0" bestFit="1" customWidth="1"/>
  </cols>
  <sheetData>
    <row r="1" spans="1:4" ht="12.75">
      <c r="A1" s="204" t="s">
        <v>510</v>
      </c>
      <c r="B1" s="204"/>
      <c r="C1" s="204"/>
      <c r="D1" s="204"/>
    </row>
    <row r="2" spans="1:4" ht="12.75">
      <c r="A2" s="26"/>
      <c r="B2" s="3" t="str">
        <f>NewExpenditures!B2</f>
        <v>General</v>
      </c>
      <c r="C2" s="3" t="str">
        <f>NewExpenditures!C2</f>
        <v>Highway</v>
      </c>
      <c r="D2" s="3" t="str">
        <f>NewExpenditures!D2</f>
        <v>Total</v>
      </c>
    </row>
    <row r="3" spans="1:4" ht="12.75">
      <c r="A3" s="218" t="str">
        <f>NewExpenditures!A12</f>
        <v>Total "New Town" Expenditures</v>
      </c>
      <c r="B3" s="218">
        <f>NewExpenditures!B12</f>
        <v>0</v>
      </c>
      <c r="C3" s="218">
        <f>NewExpenditures!C12</f>
        <v>0</v>
      </c>
      <c r="D3" s="218">
        <f>NewExpenditures!D12</f>
        <v>0</v>
      </c>
    </row>
    <row r="4" spans="1:6" ht="12.75">
      <c r="A4" s="26" t="str">
        <f>NewExpenditures!A13</f>
        <v>Scenario One</v>
      </c>
      <c r="B4" s="5">
        <f>NewExpenditures!B13</f>
        <v>1955602</v>
      </c>
      <c r="C4" s="5">
        <f>NewExpenditures!C13</f>
        <v>1155826</v>
      </c>
      <c r="D4" s="5">
        <f>NewExpenditures!D13</f>
        <v>3111428</v>
      </c>
      <c r="F4" s="8"/>
    </row>
    <row r="5" spans="1:4" ht="12.75">
      <c r="A5" s="26" t="str">
        <f>NewExpenditures!A14</f>
        <v>Scenario Two</v>
      </c>
      <c r="B5" s="5">
        <f>NewExpenditures!B14</f>
        <v>1974702</v>
      </c>
      <c r="C5" s="5">
        <f>NewExpenditures!C14</f>
        <v>1200826</v>
      </c>
      <c r="D5" s="5">
        <f>NewExpenditures!D14</f>
        <v>3175528</v>
      </c>
    </row>
    <row r="6" spans="1:4" ht="12.75">
      <c r="A6" s="26" t="str">
        <f>NewExpenditures!A15</f>
        <v>Scenario Three</v>
      </c>
      <c r="B6" s="5">
        <f>NewExpenditures!B15</f>
        <v>2002807</v>
      </c>
      <c r="C6" s="5">
        <f>NewExpenditures!C15</f>
        <v>1249826</v>
      </c>
      <c r="D6" s="5">
        <f>NewExpenditures!D15</f>
        <v>3252633</v>
      </c>
    </row>
    <row r="7" spans="1:4" ht="12.75">
      <c r="A7" s="218" t="s">
        <v>77</v>
      </c>
      <c r="B7" s="218"/>
      <c r="C7" s="218"/>
      <c r="D7" s="218"/>
    </row>
    <row r="8" spans="1:5" ht="12.75">
      <c r="A8" s="27" t="s">
        <v>514</v>
      </c>
      <c r="B8" s="5">
        <v>693889</v>
      </c>
      <c r="C8" s="5">
        <v>251975</v>
      </c>
      <c r="D8" s="5">
        <f>B8+C8</f>
        <v>945864</v>
      </c>
      <c r="E8" s="79" t="s">
        <v>519</v>
      </c>
    </row>
    <row r="9" spans="1:5" ht="12.75">
      <c r="A9" s="27" t="s">
        <v>515</v>
      </c>
      <c r="B9" s="5">
        <f>F32</f>
        <v>151050</v>
      </c>
      <c r="C9" s="5">
        <f>F31</f>
        <v>25500</v>
      </c>
      <c r="D9" s="5">
        <f>B9+C9</f>
        <v>176550</v>
      </c>
      <c r="E9" s="8" t="s">
        <v>517</v>
      </c>
    </row>
    <row r="10" spans="1:4" ht="12.75">
      <c r="A10" s="27" t="s">
        <v>65</v>
      </c>
      <c r="B10" s="5">
        <f>SUM(B8:B9)</f>
        <v>844939</v>
      </c>
      <c r="C10" s="5">
        <f>SUM(C8:C9)</f>
        <v>277475</v>
      </c>
      <c r="D10" s="5">
        <f>SUM(D8:D9)</f>
        <v>1122414</v>
      </c>
    </row>
    <row r="11" spans="1:9" ht="12.75">
      <c r="A11" s="218" t="s">
        <v>81</v>
      </c>
      <c r="B11" s="218"/>
      <c r="C11" s="218"/>
      <c r="D11" s="218"/>
      <c r="I11" s="28"/>
    </row>
    <row r="12" spans="1:4" ht="12.75">
      <c r="A12" s="26" t="str">
        <f>A4</f>
        <v>Scenario One</v>
      </c>
      <c r="B12" s="5">
        <f aca="true" t="shared" si="0" ref="B12:C14">B4-B$10</f>
        <v>1110663</v>
      </c>
      <c r="C12" s="5">
        <f t="shared" si="0"/>
        <v>878351</v>
      </c>
      <c r="D12" s="5">
        <f>B12+C12</f>
        <v>1989014</v>
      </c>
    </row>
    <row r="13" spans="1:4" ht="12.75">
      <c r="A13" s="26" t="str">
        <f>A5</f>
        <v>Scenario Two</v>
      </c>
      <c r="B13" s="5">
        <f t="shared" si="0"/>
        <v>1129763</v>
      </c>
      <c r="C13" s="5">
        <f>C5-C$10</f>
        <v>923351</v>
      </c>
      <c r="D13" s="5">
        <f>B13+C13</f>
        <v>2053114</v>
      </c>
    </row>
    <row r="14" spans="1:4" ht="12.75">
      <c r="A14" s="26" t="str">
        <f>A6</f>
        <v>Scenario Three</v>
      </c>
      <c r="B14" s="5">
        <f t="shared" si="0"/>
        <v>1157868</v>
      </c>
      <c r="C14" s="5">
        <f>C6-C$10</f>
        <v>972351</v>
      </c>
      <c r="D14" s="5">
        <f>B14+C14</f>
        <v>2130219</v>
      </c>
    </row>
    <row r="15" spans="1:4" ht="12.75">
      <c r="A15" s="218" t="s">
        <v>80</v>
      </c>
      <c r="B15" s="218"/>
      <c r="C15" s="218"/>
      <c r="D15" s="218"/>
    </row>
    <row r="16" spans="1:7" ht="12.75">
      <c r="A16" s="159" t="s">
        <v>516</v>
      </c>
      <c r="B16" s="160">
        <v>303600</v>
      </c>
      <c r="C16" s="160">
        <v>0</v>
      </c>
      <c r="D16" s="160">
        <f>B16+C16</f>
        <v>303600</v>
      </c>
      <c r="E16" s="8" t="s">
        <v>518</v>
      </c>
      <c r="F16" s="8"/>
      <c r="G16" s="8"/>
    </row>
    <row r="17" spans="1:4" ht="13.5" thickBot="1">
      <c r="A17" s="26" t="str">
        <f>A4</f>
        <v>Scenario One</v>
      </c>
      <c r="B17" s="5">
        <f aca="true" t="shared" si="1" ref="B17:C19">B12-B$16</f>
        <v>807063</v>
      </c>
      <c r="C17" s="5">
        <f>C12-C$16</f>
        <v>878351</v>
      </c>
      <c r="D17" s="5">
        <f>B17+C17</f>
        <v>1685414</v>
      </c>
    </row>
    <row r="18" spans="1:8" ht="12.75">
      <c r="A18" s="26" t="str">
        <f>A5</f>
        <v>Scenario Two</v>
      </c>
      <c r="B18" s="5">
        <f>B13-B$16</f>
        <v>826163</v>
      </c>
      <c r="C18" s="5">
        <f>C13-C$16</f>
        <v>923351</v>
      </c>
      <c r="D18" s="5">
        <f>B18+C18</f>
        <v>1749514</v>
      </c>
      <c r="F18" s="222" t="s">
        <v>453</v>
      </c>
      <c r="G18" s="223"/>
      <c r="H18" s="224"/>
    </row>
    <row r="19" spans="1:8" ht="12.75">
      <c r="A19" s="26" t="str">
        <f>A6</f>
        <v>Scenario Three</v>
      </c>
      <c r="B19" s="5">
        <f t="shared" si="1"/>
        <v>854268</v>
      </c>
      <c r="C19" s="5">
        <f t="shared" si="1"/>
        <v>972351</v>
      </c>
      <c r="D19" s="5">
        <f>B19+C19</f>
        <v>1826619</v>
      </c>
      <c r="F19" s="162" t="s">
        <v>511</v>
      </c>
      <c r="G19" s="25" t="s">
        <v>512</v>
      </c>
      <c r="H19" s="163" t="s">
        <v>513</v>
      </c>
    </row>
    <row r="20" spans="1:8" ht="12.75">
      <c r="A20" s="218" t="s">
        <v>82</v>
      </c>
      <c r="B20" s="218"/>
      <c r="C20" s="218"/>
      <c r="D20" s="218"/>
      <c r="F20" s="122">
        <v>111000</v>
      </c>
      <c r="G20" s="17" t="s">
        <v>66</v>
      </c>
      <c r="H20" s="164" t="s">
        <v>49</v>
      </c>
    </row>
    <row r="21" spans="1:8" ht="12.75">
      <c r="A21" s="17" t="s">
        <v>79</v>
      </c>
      <c r="B21" s="202">
        <f>G35</f>
        <v>185836094</v>
      </c>
      <c r="C21" s="219"/>
      <c r="D21" s="220"/>
      <c r="F21" s="122">
        <v>6000</v>
      </c>
      <c r="G21" s="17" t="s">
        <v>67</v>
      </c>
      <c r="H21" s="164" t="s">
        <v>49</v>
      </c>
    </row>
    <row r="22" spans="1:8" ht="12.75">
      <c r="A22" s="26" t="str">
        <f>A4</f>
        <v>Scenario One</v>
      </c>
      <c r="B22" s="29">
        <f>B12/$B$21*1000</f>
        <v>5.976573097796599</v>
      </c>
      <c r="C22" s="29">
        <f aca="true" t="shared" si="2" ref="B22:C24">C12/$B$21*1000</f>
        <v>4.726482251612542</v>
      </c>
      <c r="D22" s="29">
        <f>B22+C22</f>
        <v>10.70305534940914</v>
      </c>
      <c r="F22" s="122">
        <v>150</v>
      </c>
      <c r="G22" s="161" t="s">
        <v>68</v>
      </c>
      <c r="H22" s="164" t="s">
        <v>49</v>
      </c>
    </row>
    <row r="23" spans="1:8" ht="12.75">
      <c r="A23" s="26" t="str">
        <f>A5</f>
        <v>Scenario Two</v>
      </c>
      <c r="B23" s="29">
        <f t="shared" si="2"/>
        <v>6.079351840014459</v>
      </c>
      <c r="C23" s="29">
        <f t="shared" si="2"/>
        <v>4.968631120712212</v>
      </c>
      <c r="D23" s="29">
        <f>B23+C23</f>
        <v>11.04798296072667</v>
      </c>
      <c r="F23" s="122">
        <v>400</v>
      </c>
      <c r="G23" s="161" t="s">
        <v>69</v>
      </c>
      <c r="H23" s="164" t="s">
        <v>49</v>
      </c>
    </row>
    <row r="24" spans="1:8" ht="12.75">
      <c r="A24" s="26" t="str">
        <f>A6</f>
        <v>Scenario Three</v>
      </c>
      <c r="B24" s="29">
        <f t="shared" si="2"/>
        <v>6.230587261482153</v>
      </c>
      <c r="C24" s="29">
        <f>C14/$B$21*1000</f>
        <v>5.232304333731853</v>
      </c>
      <c r="D24" s="29">
        <f>B24+C24</f>
        <v>11.462891595214007</v>
      </c>
      <c r="F24" s="122">
        <v>15000</v>
      </c>
      <c r="G24" s="17" t="s">
        <v>70</v>
      </c>
      <c r="H24" s="164" t="s">
        <v>49</v>
      </c>
    </row>
    <row r="25" spans="1:8" ht="12.75">
      <c r="A25" s="218" t="s">
        <v>83</v>
      </c>
      <c r="B25" s="218"/>
      <c r="C25" s="218"/>
      <c r="D25" s="218"/>
      <c r="F25" s="123">
        <v>5000</v>
      </c>
      <c r="G25" s="17" t="s">
        <v>71</v>
      </c>
      <c r="H25" s="164" t="s">
        <v>50</v>
      </c>
    </row>
    <row r="26" spans="1:8" ht="12.75">
      <c r="A26" s="17" t="s">
        <v>79</v>
      </c>
      <c r="B26" s="202">
        <f>G35</f>
        <v>185836094</v>
      </c>
      <c r="C26" s="219"/>
      <c r="D26" s="220"/>
      <c r="F26" s="123">
        <f>34500-F27</f>
        <v>14000</v>
      </c>
      <c r="G26" s="17" t="s">
        <v>72</v>
      </c>
      <c r="H26" s="164" t="s">
        <v>49</v>
      </c>
    </row>
    <row r="27" spans="1:9" ht="12.75">
      <c r="A27" s="26" t="str">
        <f>A22</f>
        <v>Scenario One</v>
      </c>
      <c r="B27" s="29">
        <f aca="true" t="shared" si="3" ref="B27:C29">B17/$B$21*1000</f>
        <v>4.342875394270825</v>
      </c>
      <c r="C27" s="29">
        <f t="shared" si="3"/>
        <v>4.726482251612542</v>
      </c>
      <c r="D27" s="29">
        <f>B27+C27</f>
        <v>9.069357645883368</v>
      </c>
      <c r="F27" s="123">
        <v>20500</v>
      </c>
      <c r="G27" s="17" t="s">
        <v>78</v>
      </c>
      <c r="H27" s="164" t="s">
        <v>50</v>
      </c>
      <c r="I27" t="s">
        <v>457</v>
      </c>
    </row>
    <row r="28" spans="1:8" ht="12.75">
      <c r="A28" s="26" t="str">
        <f>A23</f>
        <v>Scenario Two</v>
      </c>
      <c r="B28" s="29">
        <f t="shared" si="3"/>
        <v>4.445654136488685</v>
      </c>
      <c r="C28" s="29">
        <f t="shared" si="3"/>
        <v>4.968631120712212</v>
      </c>
      <c r="D28" s="29">
        <f>B28+C28</f>
        <v>9.414285257200897</v>
      </c>
      <c r="F28" s="123">
        <v>3000</v>
      </c>
      <c r="G28" s="22" t="s">
        <v>456</v>
      </c>
      <c r="H28" s="164" t="s">
        <v>49</v>
      </c>
    </row>
    <row r="29" spans="1:8" ht="12.75">
      <c r="A29" s="26" t="str">
        <f>A24</f>
        <v>Scenario Three</v>
      </c>
      <c r="B29" s="29">
        <f t="shared" si="3"/>
        <v>4.596889557956379</v>
      </c>
      <c r="C29" s="29">
        <f t="shared" si="3"/>
        <v>5.232304333731853</v>
      </c>
      <c r="D29" s="29">
        <f>B29+C29</f>
        <v>9.82919389168823</v>
      </c>
      <c r="F29" s="123">
        <v>1500</v>
      </c>
      <c r="G29" s="17" t="s">
        <v>493</v>
      </c>
      <c r="H29" s="164" t="s">
        <v>49</v>
      </c>
    </row>
    <row r="30" spans="6:8" ht="12.75">
      <c r="F30" s="122">
        <f>SUM(F20:F29)</f>
        <v>176550</v>
      </c>
      <c r="G30" s="17" t="s">
        <v>65</v>
      </c>
      <c r="H30" s="164"/>
    </row>
    <row r="31" spans="6:8" ht="12.75">
      <c r="F31" s="122">
        <f>F25+F27</f>
        <v>25500</v>
      </c>
      <c r="G31" s="17" t="s">
        <v>50</v>
      </c>
      <c r="H31" s="164"/>
    </row>
    <row r="32" spans="6:8" ht="13.5" thickBot="1">
      <c r="F32" s="165">
        <f>F30-F31</f>
        <v>151050</v>
      </c>
      <c r="G32" s="166" t="s">
        <v>49</v>
      </c>
      <c r="H32" s="167"/>
    </row>
    <row r="33" spans="6:8" ht="12.75">
      <c r="F33" s="221" t="s">
        <v>79</v>
      </c>
      <c r="G33" s="221"/>
      <c r="H33" s="221"/>
    </row>
    <row r="34" spans="6:8" ht="12.75">
      <c r="F34" s="2" t="s">
        <v>74</v>
      </c>
      <c r="G34" s="118" t="s">
        <v>75</v>
      </c>
      <c r="H34" s="118" t="s">
        <v>76</v>
      </c>
    </row>
    <row r="35" spans="6:8" ht="12.75">
      <c r="F35" s="119">
        <v>2009</v>
      </c>
      <c r="G35" s="120">
        <v>185836094</v>
      </c>
      <c r="H35" s="121">
        <v>140742138</v>
      </c>
    </row>
    <row r="36" spans="6:8" ht="12.75">
      <c r="F36" s="2"/>
      <c r="G36" s="2"/>
      <c r="H36" s="2"/>
    </row>
    <row r="37" spans="6:8" ht="12.75">
      <c r="F37" s="2"/>
      <c r="G37" s="2" t="s">
        <v>76</v>
      </c>
      <c r="H37" s="2">
        <f>H35/G35</f>
        <v>0.7573455455859937</v>
      </c>
    </row>
    <row r="38" spans="6:8" ht="12.75">
      <c r="F38" s="2"/>
      <c r="G38" s="2" t="s">
        <v>440</v>
      </c>
      <c r="H38" s="2">
        <f>1-H37</f>
        <v>0.24265445441400635</v>
      </c>
    </row>
    <row r="39" spans="6:8" ht="12.75">
      <c r="F39" s="2"/>
      <c r="G39" s="2" t="s">
        <v>440</v>
      </c>
      <c r="H39" s="16">
        <f>G35-H35</f>
        <v>45093956</v>
      </c>
    </row>
  </sheetData>
  <sheetProtection/>
  <mergeCells count="11">
    <mergeCell ref="B26:D26"/>
    <mergeCell ref="F33:H33"/>
    <mergeCell ref="A20:D20"/>
    <mergeCell ref="B21:D21"/>
    <mergeCell ref="F18:H18"/>
    <mergeCell ref="A3:D3"/>
    <mergeCell ref="A1:D1"/>
    <mergeCell ref="A7:D7"/>
    <mergeCell ref="A11:D11"/>
    <mergeCell ref="A15:D15"/>
    <mergeCell ref="A25:D2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249"/>
  <sheetViews>
    <sheetView zoomScalePageLayoutView="0" workbookViewId="0" topLeftCell="A1">
      <pane xSplit="6" ySplit="2" topLeftCell="G222" activePane="bottomRight" state="frozen"/>
      <selection pane="topLeft" activeCell="A1" sqref="A1"/>
      <selection pane="topRight" activeCell="G1" sqref="G1"/>
      <selection pane="bottomLeft" activeCell="A3" sqref="A3"/>
      <selection pane="bottomRight" activeCell="N127" sqref="N127"/>
    </sheetView>
  </sheetViews>
  <sheetFormatPr defaultColWidth="9.140625" defaultRowHeight="12.75"/>
  <cols>
    <col min="1" max="1" width="39.28125" style="0" customWidth="1"/>
    <col min="2" max="5" width="9.140625" style="0" hidden="1" customWidth="1"/>
    <col min="6" max="6" width="10.140625" style="0" bestFit="1" customWidth="1"/>
    <col min="7" max="17" width="11.7109375" style="132" customWidth="1"/>
  </cols>
  <sheetData>
    <row r="1" spans="1:6" ht="18">
      <c r="A1" s="228" t="s">
        <v>84</v>
      </c>
      <c r="B1" s="228"/>
      <c r="C1" s="228"/>
      <c r="D1" s="228"/>
      <c r="E1" s="228"/>
      <c r="F1" s="228"/>
    </row>
    <row r="2" spans="1:17" ht="42.75">
      <c r="A2" s="31" t="s">
        <v>85</v>
      </c>
      <c r="B2" s="31" t="s">
        <v>86</v>
      </c>
      <c r="C2" s="32" t="s">
        <v>87</v>
      </c>
      <c r="D2" s="32" t="s">
        <v>88</v>
      </c>
      <c r="E2" s="32" t="s">
        <v>89</v>
      </c>
      <c r="F2" s="134" t="s">
        <v>90</v>
      </c>
      <c r="G2" s="82" t="s">
        <v>0</v>
      </c>
      <c r="H2" s="82" t="s">
        <v>6</v>
      </c>
      <c r="I2" s="82" t="s">
        <v>12</v>
      </c>
      <c r="J2" s="82" t="s">
        <v>16</v>
      </c>
      <c r="K2" s="82" t="s">
        <v>24</v>
      </c>
      <c r="L2" s="82" t="s">
        <v>26</v>
      </c>
      <c r="M2" s="82" t="s">
        <v>437</v>
      </c>
      <c r="N2" s="82" t="s">
        <v>531</v>
      </c>
      <c r="O2" s="82" t="s">
        <v>15</v>
      </c>
      <c r="P2" s="82" t="s">
        <v>438</v>
      </c>
      <c r="Q2" s="82" t="s">
        <v>439</v>
      </c>
    </row>
    <row r="3" spans="1:6" ht="15">
      <c r="A3" s="227" t="s">
        <v>91</v>
      </c>
      <c r="B3" s="227"/>
      <c r="C3" s="227"/>
      <c r="D3" s="33"/>
      <c r="E3" s="229"/>
      <c r="F3" s="229"/>
    </row>
    <row r="4" spans="1:6" ht="12.75">
      <c r="A4" s="34" t="s">
        <v>92</v>
      </c>
      <c r="B4" s="35"/>
      <c r="C4" s="36"/>
      <c r="D4" s="37"/>
      <c r="E4" s="37"/>
      <c r="F4" s="37"/>
    </row>
    <row r="5" spans="1:6" ht="12.75" customHeight="1">
      <c r="A5" s="38" t="s">
        <v>93</v>
      </c>
      <c r="B5" s="38" t="s">
        <v>94</v>
      </c>
      <c r="C5" s="39">
        <v>4125</v>
      </c>
      <c r="D5" s="40">
        <v>4400</v>
      </c>
      <c r="E5" s="40">
        <v>12000</v>
      </c>
      <c r="F5" s="39">
        <v>12000</v>
      </c>
    </row>
    <row r="6" spans="1:6" ht="12.75" customHeight="1">
      <c r="A6" s="38" t="s">
        <v>95</v>
      </c>
      <c r="B6" s="38" t="s">
        <v>96</v>
      </c>
      <c r="C6" s="39">
        <v>660</v>
      </c>
      <c r="D6" s="40">
        <v>250.23</v>
      </c>
      <c r="E6" s="40">
        <v>415</v>
      </c>
      <c r="F6" s="39">
        <v>5400</v>
      </c>
    </row>
    <row r="7" spans="1:8" ht="12.75">
      <c r="A7" s="41" t="s">
        <v>97</v>
      </c>
      <c r="B7" s="42"/>
      <c r="C7" s="43">
        <v>4785</v>
      </c>
      <c r="D7" s="44">
        <v>4650.23</v>
      </c>
      <c r="E7" s="44">
        <v>12415</v>
      </c>
      <c r="F7" s="44">
        <v>17400</v>
      </c>
      <c r="H7" s="133">
        <f>F7</f>
        <v>17400</v>
      </c>
    </row>
    <row r="8" spans="1:6" ht="12.75">
      <c r="A8" s="34" t="s">
        <v>98</v>
      </c>
      <c r="B8" s="35"/>
      <c r="C8" s="36"/>
      <c r="D8" s="37"/>
      <c r="E8" s="37"/>
      <c r="F8" s="37"/>
    </row>
    <row r="9" spans="1:6" ht="12.75" customHeight="1">
      <c r="A9" s="38" t="s">
        <v>99</v>
      </c>
      <c r="B9" s="38" t="s">
        <v>100</v>
      </c>
      <c r="C9" s="39">
        <v>2500</v>
      </c>
      <c r="D9" s="40">
        <v>2500</v>
      </c>
      <c r="E9" s="40">
        <v>8000</v>
      </c>
      <c r="F9" s="40">
        <v>8000</v>
      </c>
    </row>
    <row r="10" spans="1:6" ht="12.75" customHeight="1">
      <c r="A10" s="38" t="s">
        <v>101</v>
      </c>
      <c r="B10" s="38" t="s">
        <v>102</v>
      </c>
      <c r="C10" s="39">
        <v>515</v>
      </c>
      <c r="D10" s="39">
        <v>188</v>
      </c>
      <c r="E10" s="39">
        <v>595</v>
      </c>
      <c r="F10" s="40">
        <v>400</v>
      </c>
    </row>
    <row r="11" spans="1:8" ht="12.75">
      <c r="A11" s="41" t="s">
        <v>103</v>
      </c>
      <c r="B11" s="42"/>
      <c r="C11" s="43">
        <v>3015</v>
      </c>
      <c r="D11" s="44">
        <v>2688</v>
      </c>
      <c r="E11" s="44">
        <v>8595</v>
      </c>
      <c r="F11" s="44">
        <v>8400</v>
      </c>
      <c r="H11" s="133">
        <f>F11</f>
        <v>8400</v>
      </c>
    </row>
    <row r="12" spans="1:6" ht="12.75">
      <c r="A12" s="34" t="s">
        <v>104</v>
      </c>
      <c r="B12" s="35"/>
      <c r="C12" s="36"/>
      <c r="D12" s="37"/>
      <c r="E12" s="37"/>
      <c r="F12" s="37"/>
    </row>
    <row r="13" spans="1:6" ht="12.75" customHeight="1">
      <c r="A13" s="38" t="s">
        <v>105</v>
      </c>
      <c r="B13" s="38" t="s">
        <v>106</v>
      </c>
      <c r="C13" s="39">
        <v>18880</v>
      </c>
      <c r="D13" s="40">
        <v>10153</v>
      </c>
      <c r="E13" s="39">
        <v>9387</v>
      </c>
      <c r="F13" s="40">
        <v>10415</v>
      </c>
    </row>
    <row r="14" spans="1:6" ht="12.75" customHeight="1">
      <c r="A14" s="38" t="s">
        <v>107</v>
      </c>
      <c r="B14" s="38" t="s">
        <v>108</v>
      </c>
      <c r="C14" s="39"/>
      <c r="D14" s="40">
        <v>7945</v>
      </c>
      <c r="E14" s="45"/>
      <c r="F14" s="39"/>
    </row>
    <row r="15" spans="1:6" ht="12.75" customHeight="1">
      <c r="A15" s="38" t="s">
        <v>109</v>
      </c>
      <c r="B15" s="38" t="s">
        <v>110</v>
      </c>
      <c r="C15" s="39">
        <v>781</v>
      </c>
      <c r="D15" s="39">
        <v>5372.04</v>
      </c>
      <c r="E15" s="39">
        <v>6407</v>
      </c>
      <c r="F15" s="40">
        <v>8500</v>
      </c>
    </row>
    <row r="16" spans="1:9" ht="12.75">
      <c r="A16" s="41" t="s">
        <v>111</v>
      </c>
      <c r="B16" s="42"/>
      <c r="C16" s="43">
        <v>19661</v>
      </c>
      <c r="D16" s="44">
        <v>23470.04</v>
      </c>
      <c r="E16" s="44">
        <v>15794</v>
      </c>
      <c r="F16" s="44">
        <v>18915</v>
      </c>
      <c r="I16" s="133">
        <f>F16</f>
        <v>18915</v>
      </c>
    </row>
    <row r="17" spans="1:6" ht="12.75">
      <c r="A17" s="34" t="s">
        <v>112</v>
      </c>
      <c r="B17" s="35"/>
      <c r="C17" s="46"/>
      <c r="D17" s="47"/>
      <c r="E17" s="47"/>
      <c r="F17" s="47"/>
    </row>
    <row r="18" spans="1:6" ht="12.75" customHeight="1">
      <c r="A18" s="48" t="s">
        <v>113</v>
      </c>
      <c r="B18" s="48" t="s">
        <v>114</v>
      </c>
      <c r="C18" s="49">
        <v>334</v>
      </c>
      <c r="D18" s="49">
        <v>0</v>
      </c>
      <c r="E18" s="49">
        <v>0</v>
      </c>
      <c r="F18" s="50"/>
    </row>
    <row r="19" spans="1:8" ht="12.75">
      <c r="A19" s="51" t="s">
        <v>115</v>
      </c>
      <c r="B19" s="52"/>
      <c r="C19" s="53">
        <v>334</v>
      </c>
      <c r="D19" s="53">
        <v>0</v>
      </c>
      <c r="E19" s="53">
        <v>0</v>
      </c>
      <c r="F19" s="53">
        <v>0</v>
      </c>
      <c r="H19" s="133">
        <f>F19</f>
        <v>0</v>
      </c>
    </row>
    <row r="20" spans="1:6" ht="12.75">
      <c r="A20" s="34" t="s">
        <v>116</v>
      </c>
      <c r="B20" s="35"/>
      <c r="C20" s="36"/>
      <c r="D20" s="37"/>
      <c r="E20" s="37"/>
      <c r="F20" s="37"/>
    </row>
    <row r="21" spans="1:6" ht="12.75" customHeight="1">
      <c r="A21" s="38" t="s">
        <v>117</v>
      </c>
      <c r="B21" s="38" t="s">
        <v>118</v>
      </c>
      <c r="C21" s="49">
        <v>7929</v>
      </c>
      <c r="D21" s="40">
        <v>12539.31</v>
      </c>
      <c r="E21" s="49">
        <v>10500</v>
      </c>
      <c r="F21" s="40">
        <v>10815</v>
      </c>
    </row>
    <row r="22" spans="1:6" ht="12.75" customHeight="1">
      <c r="A22" s="38" t="s">
        <v>119</v>
      </c>
      <c r="B22" s="38" t="s">
        <v>120</v>
      </c>
      <c r="C22" s="49">
        <v>1046</v>
      </c>
      <c r="D22" s="39">
        <v>2758.69</v>
      </c>
      <c r="E22" s="49">
        <v>4372</v>
      </c>
      <c r="F22" s="40">
        <v>3500</v>
      </c>
    </row>
    <row r="23" spans="1:9" ht="12.75">
      <c r="A23" s="41" t="s">
        <v>121</v>
      </c>
      <c r="B23" s="42"/>
      <c r="C23" s="43">
        <v>8975</v>
      </c>
      <c r="D23" s="44">
        <v>15298</v>
      </c>
      <c r="E23" s="44">
        <v>14872</v>
      </c>
      <c r="F23" s="44">
        <v>14315</v>
      </c>
      <c r="I23" s="133">
        <f>F23</f>
        <v>14315</v>
      </c>
    </row>
    <row r="24" spans="1:6" ht="12.75">
      <c r="A24" s="34" t="s">
        <v>122</v>
      </c>
      <c r="B24" s="35"/>
      <c r="C24" s="36"/>
      <c r="D24" s="37"/>
      <c r="E24" s="37"/>
      <c r="F24" s="37"/>
    </row>
    <row r="25" spans="1:6" ht="12.75" customHeight="1">
      <c r="A25" s="38" t="s">
        <v>123</v>
      </c>
      <c r="B25" s="38" t="s">
        <v>124</v>
      </c>
      <c r="C25" s="39"/>
      <c r="D25" s="39"/>
      <c r="E25" s="39"/>
      <c r="F25" s="40"/>
    </row>
    <row r="26" spans="1:6" ht="12.75" customHeight="1">
      <c r="A26" s="38" t="s">
        <v>125</v>
      </c>
      <c r="B26" s="38" t="s">
        <v>126</v>
      </c>
      <c r="C26" s="49">
        <v>1233</v>
      </c>
      <c r="D26" s="40">
        <v>6947.59</v>
      </c>
      <c r="E26" s="40">
        <v>6812</v>
      </c>
      <c r="F26" s="39">
        <v>6000</v>
      </c>
    </row>
    <row r="27" spans="1:8" ht="12.75">
      <c r="A27" s="41" t="s">
        <v>127</v>
      </c>
      <c r="B27" s="42"/>
      <c r="C27" s="43">
        <v>1233</v>
      </c>
      <c r="D27" s="44">
        <v>6947.59</v>
      </c>
      <c r="E27" s="44">
        <v>6812</v>
      </c>
      <c r="F27" s="44">
        <v>6000</v>
      </c>
      <c r="H27" s="133">
        <f>F27</f>
        <v>6000</v>
      </c>
    </row>
    <row r="28" spans="1:6" ht="12.75">
      <c r="A28" s="34" t="s">
        <v>128</v>
      </c>
      <c r="B28" s="35"/>
      <c r="C28" s="36"/>
      <c r="D28" s="37"/>
      <c r="E28" s="37"/>
      <c r="F28" s="37"/>
    </row>
    <row r="29" spans="1:6" ht="12.75" customHeight="1">
      <c r="A29" s="38" t="s">
        <v>129</v>
      </c>
      <c r="B29" s="38" t="s">
        <v>130</v>
      </c>
      <c r="C29" s="39"/>
      <c r="D29" s="40"/>
      <c r="E29" s="40"/>
      <c r="F29" s="40"/>
    </row>
    <row r="30" spans="1:6" ht="12.75" customHeight="1">
      <c r="A30" s="38" t="s">
        <v>131</v>
      </c>
      <c r="B30" s="38" t="s">
        <v>132</v>
      </c>
      <c r="C30" s="49">
        <v>514</v>
      </c>
      <c r="D30" s="40">
        <v>333.56</v>
      </c>
      <c r="E30" s="40">
        <v>209</v>
      </c>
      <c r="F30" s="40">
        <v>275</v>
      </c>
    </row>
    <row r="31" spans="1:8" ht="12.75">
      <c r="A31" s="41" t="s">
        <v>133</v>
      </c>
      <c r="B31" s="42"/>
      <c r="C31" s="43">
        <v>514</v>
      </c>
      <c r="D31" s="44">
        <v>333.56</v>
      </c>
      <c r="E31" s="44">
        <v>209</v>
      </c>
      <c r="F31" s="44">
        <v>275</v>
      </c>
      <c r="H31" s="133">
        <f>F31</f>
        <v>275</v>
      </c>
    </row>
    <row r="32" spans="1:6" ht="12.75">
      <c r="A32" s="34" t="s">
        <v>134</v>
      </c>
      <c r="B32" s="35"/>
      <c r="C32" s="36"/>
      <c r="D32" s="37"/>
      <c r="E32" s="37"/>
      <c r="F32" s="37"/>
    </row>
    <row r="33" spans="1:6" ht="12.75" customHeight="1">
      <c r="A33" s="38" t="s">
        <v>135</v>
      </c>
      <c r="B33" s="38" t="s">
        <v>136</v>
      </c>
      <c r="C33" s="39"/>
      <c r="D33" s="40"/>
      <c r="E33" s="40"/>
      <c r="F33" s="39"/>
    </row>
    <row r="34" spans="1:6" ht="12.75" customHeight="1">
      <c r="A34" s="38" t="s">
        <v>137</v>
      </c>
      <c r="B34" s="38" t="s">
        <v>138</v>
      </c>
      <c r="C34" s="49">
        <v>10392</v>
      </c>
      <c r="D34" s="40">
        <v>10674.8</v>
      </c>
      <c r="E34" s="40">
        <v>9320</v>
      </c>
      <c r="F34" s="40">
        <v>9600</v>
      </c>
    </row>
    <row r="35" spans="1:10" ht="12.75">
      <c r="A35" s="41" t="s">
        <v>139</v>
      </c>
      <c r="B35" s="42"/>
      <c r="C35" s="43">
        <v>10392</v>
      </c>
      <c r="D35" s="43">
        <v>10674.8</v>
      </c>
      <c r="E35" s="43">
        <v>9320</v>
      </c>
      <c r="F35" s="43">
        <v>9600</v>
      </c>
      <c r="J35" s="133">
        <f>F35</f>
        <v>9600</v>
      </c>
    </row>
    <row r="36" spans="1:6" ht="12.75">
      <c r="A36" s="34" t="s">
        <v>140</v>
      </c>
      <c r="B36" s="35"/>
      <c r="C36" s="36"/>
      <c r="D36" s="37"/>
      <c r="E36" s="37"/>
      <c r="F36" s="37"/>
    </row>
    <row r="37" spans="1:8" ht="12.75" customHeight="1">
      <c r="A37" s="38" t="s">
        <v>141</v>
      </c>
      <c r="B37" s="38" t="s">
        <v>142</v>
      </c>
      <c r="C37" s="49">
        <v>31479</v>
      </c>
      <c r="D37" s="40">
        <v>25829.31</v>
      </c>
      <c r="E37" s="40">
        <v>27847</v>
      </c>
      <c r="F37" s="39">
        <v>28000</v>
      </c>
      <c r="H37" s="133"/>
    </row>
    <row r="38" spans="1:8" ht="12.75" customHeight="1">
      <c r="A38" s="38" t="s">
        <v>143</v>
      </c>
      <c r="B38" s="38" t="s">
        <v>144</v>
      </c>
      <c r="C38" s="39">
        <v>812</v>
      </c>
      <c r="D38" s="40">
        <v>852</v>
      </c>
      <c r="E38" s="40">
        <v>882</v>
      </c>
      <c r="F38" s="40">
        <v>900</v>
      </c>
      <c r="H38" s="133"/>
    </row>
    <row r="39" spans="1:8" ht="12.75">
      <c r="A39" s="41" t="s">
        <v>145</v>
      </c>
      <c r="B39" s="42"/>
      <c r="C39" s="43">
        <v>32291</v>
      </c>
      <c r="D39" s="44">
        <v>26681.31</v>
      </c>
      <c r="E39" s="44">
        <v>28729</v>
      </c>
      <c r="F39" s="44">
        <v>28900</v>
      </c>
      <c r="H39" s="133">
        <f>F39</f>
        <v>28900</v>
      </c>
    </row>
    <row r="40" spans="1:6" ht="12.75">
      <c r="A40" s="34" t="s">
        <v>146</v>
      </c>
      <c r="B40" s="35"/>
      <c r="C40" s="36"/>
      <c r="D40" s="37"/>
      <c r="E40" s="37"/>
      <c r="F40" s="37"/>
    </row>
    <row r="41" spans="1:16" ht="12.75">
      <c r="A41" s="38" t="s">
        <v>147</v>
      </c>
      <c r="B41" s="38" t="s">
        <v>148</v>
      </c>
      <c r="C41" s="39"/>
      <c r="D41" s="39"/>
      <c r="E41" s="39"/>
      <c r="F41" s="40">
        <v>20000</v>
      </c>
      <c r="P41" s="133">
        <f>F41</f>
        <v>20000</v>
      </c>
    </row>
    <row r="42" spans="1:6" ht="12.75" customHeight="1">
      <c r="A42" s="38" t="s">
        <v>149</v>
      </c>
      <c r="B42" s="38" t="s">
        <v>150</v>
      </c>
      <c r="C42" s="39"/>
      <c r="D42" s="40"/>
      <c r="E42" s="40"/>
      <c r="F42" s="39"/>
    </row>
    <row r="43" spans="1:6" ht="12.75" customHeight="1">
      <c r="A43" s="38" t="s">
        <v>151</v>
      </c>
      <c r="B43" s="38" t="s">
        <v>152</v>
      </c>
      <c r="D43" s="40"/>
      <c r="E43" s="40">
        <v>4551</v>
      </c>
      <c r="F43" s="45"/>
    </row>
    <row r="44" spans="1:6" ht="12.75" customHeight="1">
      <c r="A44" s="38" t="s">
        <v>153</v>
      </c>
      <c r="B44" s="38" t="s">
        <v>154</v>
      </c>
      <c r="C44" s="39"/>
      <c r="D44" s="40"/>
      <c r="E44" s="40"/>
      <c r="F44" s="39"/>
    </row>
    <row r="45" spans="1:6" ht="12.75" customHeight="1">
      <c r="A45" s="38" t="s">
        <v>155</v>
      </c>
      <c r="B45" s="38" t="s">
        <v>156</v>
      </c>
      <c r="C45" s="39"/>
      <c r="D45" s="40"/>
      <c r="E45" s="40">
        <v>1167</v>
      </c>
      <c r="F45" s="39"/>
    </row>
    <row r="46" spans="1:6" ht="13.5" thickBot="1">
      <c r="A46" s="54" t="s">
        <v>157</v>
      </c>
      <c r="B46" s="55"/>
      <c r="C46" s="56">
        <v>81200</v>
      </c>
      <c r="D46" s="57">
        <v>90743.52999999998</v>
      </c>
      <c r="E46" s="57">
        <v>102464</v>
      </c>
      <c r="F46" s="57">
        <v>123805</v>
      </c>
    </row>
    <row r="47" spans="1:6" ht="13.5" thickTop="1">
      <c r="A47" s="34" t="s">
        <v>158</v>
      </c>
      <c r="B47" s="35"/>
      <c r="C47" s="36"/>
      <c r="D47" s="37"/>
      <c r="E47" s="37"/>
      <c r="F47" s="37"/>
    </row>
    <row r="48" spans="1:6" ht="12.75" customHeight="1">
      <c r="A48" s="38" t="s">
        <v>159</v>
      </c>
      <c r="B48" s="38" t="s">
        <v>160</v>
      </c>
      <c r="C48" s="39"/>
      <c r="D48" s="40"/>
      <c r="E48" s="40"/>
      <c r="F48" s="40"/>
    </row>
    <row r="49" spans="1:6" ht="12.75" customHeight="1">
      <c r="A49" s="38" t="s">
        <v>161</v>
      </c>
      <c r="B49" s="38" t="s">
        <v>162</v>
      </c>
      <c r="C49" s="39">
        <v>5084</v>
      </c>
      <c r="D49" s="39">
        <v>5199.6</v>
      </c>
      <c r="E49" s="39">
        <v>6433</v>
      </c>
      <c r="F49" s="40">
        <v>6700</v>
      </c>
    </row>
    <row r="50" spans="1:16" ht="12.75">
      <c r="A50" s="41" t="s">
        <v>163</v>
      </c>
      <c r="B50" s="42"/>
      <c r="C50" s="43">
        <v>5084</v>
      </c>
      <c r="D50" s="44">
        <v>5199.6</v>
      </c>
      <c r="E50" s="44">
        <v>6433</v>
      </c>
      <c r="F50" s="44">
        <v>6700</v>
      </c>
      <c r="P50" s="133">
        <f>F50</f>
        <v>6700</v>
      </c>
    </row>
    <row r="51" spans="1:6" ht="12.75">
      <c r="A51" s="34" t="s">
        <v>164</v>
      </c>
      <c r="B51" s="35"/>
      <c r="C51" s="36"/>
      <c r="D51" s="37"/>
      <c r="E51" s="37"/>
      <c r="F51" s="37"/>
    </row>
    <row r="52" spans="1:6" ht="12.75" customHeight="1">
      <c r="A52" s="38" t="s">
        <v>165</v>
      </c>
      <c r="B52" s="38" t="s">
        <v>166</v>
      </c>
      <c r="C52" s="39">
        <v>9462</v>
      </c>
      <c r="D52" s="40">
        <v>3577.14</v>
      </c>
      <c r="E52" s="39">
        <v>37533</v>
      </c>
      <c r="F52" s="40">
        <v>3000</v>
      </c>
    </row>
    <row r="53" spans="1:6" ht="12.75" customHeight="1">
      <c r="A53" s="38" t="s">
        <v>167</v>
      </c>
      <c r="B53" s="38" t="s">
        <v>168</v>
      </c>
      <c r="C53" s="39">
        <v>70181</v>
      </c>
      <c r="D53" s="40">
        <v>51954.65</v>
      </c>
      <c r="E53" s="39">
        <v>37179</v>
      </c>
      <c r="F53" s="39">
        <v>50000</v>
      </c>
    </row>
    <row r="54" spans="1:6" ht="12.75" customHeight="1">
      <c r="A54" s="38" t="s">
        <v>169</v>
      </c>
      <c r="B54" s="38" t="s">
        <v>170</v>
      </c>
      <c r="C54" s="39"/>
      <c r="D54" s="39"/>
      <c r="E54" s="39"/>
      <c r="F54" s="40"/>
    </row>
    <row r="55" spans="1:15" ht="12.75">
      <c r="A55" s="41" t="s">
        <v>171</v>
      </c>
      <c r="B55" s="42"/>
      <c r="C55" s="43">
        <v>79643</v>
      </c>
      <c r="D55" s="44">
        <v>55531.79</v>
      </c>
      <c r="E55" s="44">
        <v>74712</v>
      </c>
      <c r="F55" s="44">
        <v>53000</v>
      </c>
      <c r="O55" s="133">
        <f>F55</f>
        <v>53000</v>
      </c>
    </row>
    <row r="56" spans="1:6" ht="13.5" thickBot="1">
      <c r="A56" s="54" t="s">
        <v>172</v>
      </c>
      <c r="B56" s="55"/>
      <c r="C56" s="56">
        <v>84727</v>
      </c>
      <c r="D56" s="57">
        <v>60731.39</v>
      </c>
      <c r="E56" s="57">
        <v>81145</v>
      </c>
      <c r="F56" s="57">
        <v>59700</v>
      </c>
    </row>
    <row r="57" spans="1:6" ht="13.5" thickTop="1">
      <c r="A57" s="34" t="s">
        <v>173</v>
      </c>
      <c r="B57" s="35"/>
      <c r="C57" s="46"/>
      <c r="D57" s="47"/>
      <c r="E57" s="47"/>
      <c r="F57" s="47"/>
    </row>
    <row r="58" spans="1:6" ht="12.75">
      <c r="A58" s="48" t="s">
        <v>174</v>
      </c>
      <c r="B58" s="48" t="s">
        <v>175</v>
      </c>
      <c r="C58" s="50"/>
      <c r="D58" s="50"/>
      <c r="E58" s="50"/>
      <c r="F58" s="50"/>
    </row>
    <row r="59" spans="1:6" ht="12.75">
      <c r="A59" s="48" t="s">
        <v>176</v>
      </c>
      <c r="B59" s="48" t="s">
        <v>177</v>
      </c>
      <c r="C59" s="50"/>
      <c r="D59" s="50"/>
      <c r="E59" s="50"/>
      <c r="F59" s="50"/>
    </row>
    <row r="60" spans="1:16" ht="12.75">
      <c r="A60" s="51" t="s">
        <v>178</v>
      </c>
      <c r="B60" s="52"/>
      <c r="C60" s="53">
        <v>0</v>
      </c>
      <c r="D60" s="53">
        <v>0</v>
      </c>
      <c r="E60" s="53">
        <v>0</v>
      </c>
      <c r="F60" s="53">
        <v>0</v>
      </c>
      <c r="P60" s="133">
        <f>F60</f>
        <v>0</v>
      </c>
    </row>
    <row r="61" spans="1:6" ht="12.75">
      <c r="A61" s="34" t="s">
        <v>179</v>
      </c>
      <c r="B61" s="35"/>
      <c r="C61" s="36"/>
      <c r="D61" s="37"/>
      <c r="E61" s="37"/>
      <c r="F61" s="37"/>
    </row>
    <row r="62" spans="1:6" ht="12.75">
      <c r="A62" s="38" t="s">
        <v>179</v>
      </c>
      <c r="B62" s="38" t="s">
        <v>180</v>
      </c>
      <c r="C62" s="39"/>
      <c r="D62" s="40"/>
      <c r="E62" s="40"/>
      <c r="F62" s="40"/>
    </row>
    <row r="63" spans="1:6" ht="12.75">
      <c r="A63" s="38" t="s">
        <v>179</v>
      </c>
      <c r="B63" s="38" t="s">
        <v>181</v>
      </c>
      <c r="C63" s="39">
        <v>370</v>
      </c>
      <c r="D63" s="39">
        <v>572</v>
      </c>
      <c r="E63" s="39">
        <v>429</v>
      </c>
      <c r="F63" s="40">
        <v>400</v>
      </c>
    </row>
    <row r="64" spans="1:16" ht="12.75">
      <c r="A64" s="41" t="s">
        <v>182</v>
      </c>
      <c r="B64" s="42"/>
      <c r="C64" s="43">
        <v>370</v>
      </c>
      <c r="D64" s="44">
        <v>572</v>
      </c>
      <c r="E64" s="44">
        <v>429</v>
      </c>
      <c r="F64" s="44">
        <v>400</v>
      </c>
      <c r="P64" s="133">
        <f>F64</f>
        <v>400</v>
      </c>
    </row>
    <row r="65" spans="1:6" ht="12.75">
      <c r="A65" s="58" t="s">
        <v>183</v>
      </c>
      <c r="B65" s="59"/>
      <c r="C65" s="60">
        <v>370</v>
      </c>
      <c r="D65" s="61">
        <v>572</v>
      </c>
      <c r="E65" s="61">
        <v>429</v>
      </c>
      <c r="F65" s="61">
        <v>400</v>
      </c>
    </row>
    <row r="66" spans="1:6" ht="12.75">
      <c r="A66" s="34" t="s">
        <v>184</v>
      </c>
      <c r="B66" s="35"/>
      <c r="C66" s="36"/>
      <c r="D66" s="37"/>
      <c r="E66" s="37"/>
      <c r="F66" s="37"/>
    </row>
    <row r="67" spans="1:6" ht="12.75">
      <c r="A67" s="38" t="s">
        <v>185</v>
      </c>
      <c r="B67" s="38" t="s">
        <v>186</v>
      </c>
      <c r="C67" s="39">
        <v>6980</v>
      </c>
      <c r="D67" s="40">
        <v>18644.41</v>
      </c>
      <c r="E67" s="39">
        <v>20356</v>
      </c>
      <c r="F67" s="39">
        <v>22280</v>
      </c>
    </row>
    <row r="68" spans="1:6" ht="12.75">
      <c r="A68" s="38" t="s">
        <v>187</v>
      </c>
      <c r="B68" s="38" t="s">
        <v>188</v>
      </c>
      <c r="C68" s="39">
        <v>8065</v>
      </c>
      <c r="D68" s="40">
        <v>2622.24</v>
      </c>
      <c r="E68" s="39">
        <v>31849</v>
      </c>
      <c r="F68" s="39">
        <v>35000</v>
      </c>
    </row>
    <row r="69" spans="1:7" ht="12.75">
      <c r="A69" s="41" t="s">
        <v>189</v>
      </c>
      <c r="B69" s="42"/>
      <c r="C69" s="43">
        <v>15045</v>
      </c>
      <c r="D69" s="44">
        <v>21266.65</v>
      </c>
      <c r="E69" s="44">
        <v>52205</v>
      </c>
      <c r="F69" s="44">
        <v>57280</v>
      </c>
      <c r="G69" s="133">
        <f>F69</f>
        <v>57280</v>
      </c>
    </row>
    <row r="70" spans="1:6" ht="12.75">
      <c r="A70" s="34" t="s">
        <v>190</v>
      </c>
      <c r="B70" s="35"/>
      <c r="C70" s="36"/>
      <c r="D70" s="37"/>
      <c r="E70" s="37"/>
      <c r="F70" s="37"/>
    </row>
    <row r="71" spans="1:6" ht="12.75">
      <c r="A71" s="38" t="s">
        <v>191</v>
      </c>
      <c r="B71" s="38" t="s">
        <v>192</v>
      </c>
      <c r="C71" s="39">
        <v>38351</v>
      </c>
      <c r="D71" s="40">
        <v>44612.36</v>
      </c>
      <c r="E71" s="39">
        <v>50937</v>
      </c>
      <c r="F71" s="39">
        <v>48950</v>
      </c>
    </row>
    <row r="72" spans="1:6" ht="12.75">
      <c r="A72" s="38" t="s">
        <v>193</v>
      </c>
      <c r="B72" s="38" t="s">
        <v>194</v>
      </c>
      <c r="C72" s="39">
        <v>20336</v>
      </c>
      <c r="D72" s="40">
        <v>3386.5</v>
      </c>
      <c r="E72" s="39">
        <v>6539</v>
      </c>
      <c r="F72" s="39"/>
    </row>
    <row r="73" spans="1:6" ht="12.75">
      <c r="A73" s="38" t="s">
        <v>195</v>
      </c>
      <c r="B73" s="38" t="s">
        <v>196</v>
      </c>
      <c r="C73" s="39">
        <v>55395</v>
      </c>
      <c r="D73" s="39">
        <v>54312.89</v>
      </c>
      <c r="E73" s="39">
        <v>39117</v>
      </c>
      <c r="F73" s="39">
        <v>48000</v>
      </c>
    </row>
    <row r="74" spans="1:7" ht="12.75">
      <c r="A74" s="41" t="s">
        <v>197</v>
      </c>
      <c r="B74" s="42"/>
      <c r="C74" s="43">
        <v>114082</v>
      </c>
      <c r="D74" s="44">
        <v>102311.75</v>
      </c>
      <c r="E74" s="44">
        <v>96593</v>
      </c>
      <c r="F74" s="44">
        <v>96950</v>
      </c>
      <c r="G74" s="133">
        <f>F74</f>
        <v>96950</v>
      </c>
    </row>
    <row r="75" spans="1:6" ht="12.75">
      <c r="A75" s="34" t="s">
        <v>198</v>
      </c>
      <c r="B75" s="35"/>
      <c r="C75" s="36"/>
      <c r="D75" s="37"/>
      <c r="E75" s="37"/>
      <c r="F75" s="37"/>
    </row>
    <row r="76" spans="1:6" ht="12.75">
      <c r="A76" s="38" t="s">
        <v>199</v>
      </c>
      <c r="B76" s="38" t="s">
        <v>200</v>
      </c>
      <c r="C76" s="39">
        <v>20419</v>
      </c>
      <c r="D76" s="40">
        <v>23252.32</v>
      </c>
      <c r="E76" s="39">
        <v>21273</v>
      </c>
      <c r="F76" s="39">
        <v>20000</v>
      </c>
    </row>
    <row r="77" spans="1:7" ht="12.75">
      <c r="A77" s="41" t="s">
        <v>201</v>
      </c>
      <c r="B77" s="42"/>
      <c r="C77" s="43">
        <v>20419</v>
      </c>
      <c r="D77" s="44">
        <v>23252.32</v>
      </c>
      <c r="E77" s="44">
        <v>21273</v>
      </c>
      <c r="F77" s="44">
        <v>20000</v>
      </c>
      <c r="G77" s="133">
        <f>F77</f>
        <v>20000</v>
      </c>
    </row>
    <row r="78" spans="1:6" ht="12.75">
      <c r="A78" s="34" t="s">
        <v>202</v>
      </c>
      <c r="B78" s="35"/>
      <c r="C78" s="36"/>
      <c r="D78" s="37"/>
      <c r="E78" s="37"/>
      <c r="F78" s="37"/>
    </row>
    <row r="79" spans="1:6" ht="12.75">
      <c r="A79" s="38" t="s">
        <v>203</v>
      </c>
      <c r="B79" s="38" t="s">
        <v>204</v>
      </c>
      <c r="C79" s="39">
        <v>18234</v>
      </c>
      <c r="D79" s="40">
        <v>31448.71</v>
      </c>
      <c r="E79" s="39">
        <v>21637</v>
      </c>
      <c r="F79" s="39">
        <v>26000</v>
      </c>
    </row>
    <row r="80" spans="1:6" ht="12.75">
      <c r="A80" s="38" t="s">
        <v>205</v>
      </c>
      <c r="B80" s="38" t="s">
        <v>206</v>
      </c>
      <c r="C80" s="39">
        <v>14945</v>
      </c>
      <c r="D80" s="39">
        <v>26403.28</v>
      </c>
      <c r="E80" s="39">
        <v>30890</v>
      </c>
      <c r="F80" s="39">
        <v>35000</v>
      </c>
    </row>
    <row r="81" spans="1:14" ht="12.75">
      <c r="A81" s="41" t="s">
        <v>207</v>
      </c>
      <c r="B81" s="42"/>
      <c r="C81" s="43">
        <v>33179</v>
      </c>
      <c r="D81" s="44">
        <v>57851.99</v>
      </c>
      <c r="E81" s="44">
        <v>52527</v>
      </c>
      <c r="F81" s="44">
        <v>61000</v>
      </c>
      <c r="G81" s="133">
        <f>F81-N81</f>
        <v>55000</v>
      </c>
      <c r="N81" s="133">
        <v>6000</v>
      </c>
    </row>
    <row r="82" spans="1:6" ht="12.75">
      <c r="A82" s="34" t="s">
        <v>208</v>
      </c>
      <c r="B82" s="35"/>
      <c r="C82" s="36"/>
      <c r="D82" s="37"/>
      <c r="E82" s="37"/>
      <c r="F82" s="37"/>
    </row>
    <row r="83" spans="1:6" ht="12.75">
      <c r="A83" s="38" t="s">
        <v>209</v>
      </c>
      <c r="B83" s="38" t="s">
        <v>210</v>
      </c>
      <c r="C83" s="39">
        <v>23396</v>
      </c>
      <c r="D83" s="40">
        <v>26563.98</v>
      </c>
      <c r="E83" s="40">
        <v>26010</v>
      </c>
      <c r="F83" s="39">
        <v>29000</v>
      </c>
    </row>
    <row r="84" spans="1:12" ht="12.75">
      <c r="A84" s="41" t="s">
        <v>211</v>
      </c>
      <c r="B84" s="42"/>
      <c r="C84" s="43">
        <v>23396</v>
      </c>
      <c r="D84" s="44">
        <v>26563.98</v>
      </c>
      <c r="E84" s="44">
        <v>26010</v>
      </c>
      <c r="F84" s="44">
        <v>29000</v>
      </c>
      <c r="G84" s="133"/>
      <c r="L84" s="133">
        <f>F84</f>
        <v>29000</v>
      </c>
    </row>
    <row r="85" spans="1:6" ht="12.75">
      <c r="A85" s="34" t="s">
        <v>212</v>
      </c>
      <c r="B85" s="35"/>
      <c r="C85" s="36"/>
      <c r="D85" s="37"/>
      <c r="E85" s="37"/>
      <c r="F85" s="37"/>
    </row>
    <row r="86" spans="1:6" ht="12.75">
      <c r="A86" s="38" t="s">
        <v>213</v>
      </c>
      <c r="B86" s="38" t="s">
        <v>214</v>
      </c>
      <c r="C86" s="39">
        <v>2320</v>
      </c>
      <c r="D86" s="40">
        <v>1720.02</v>
      </c>
      <c r="E86" s="40">
        <v>9602</v>
      </c>
      <c r="F86" s="40">
        <v>7500</v>
      </c>
    </row>
    <row r="87" spans="1:6" ht="12.75">
      <c r="A87" s="38" t="s">
        <v>215</v>
      </c>
      <c r="B87" s="38" t="s">
        <v>216</v>
      </c>
      <c r="C87" s="39">
        <v>598</v>
      </c>
      <c r="D87" s="39">
        <v>223.07</v>
      </c>
      <c r="E87" s="40">
        <v>3503</v>
      </c>
      <c r="F87" s="40">
        <v>7500</v>
      </c>
    </row>
    <row r="88" spans="1:14" ht="12.75">
      <c r="A88" s="41" t="s">
        <v>217</v>
      </c>
      <c r="B88" s="42"/>
      <c r="C88" s="43">
        <v>2918</v>
      </c>
      <c r="D88" s="44">
        <v>1943.09</v>
      </c>
      <c r="E88" s="44">
        <v>13105</v>
      </c>
      <c r="F88" s="44">
        <v>15000</v>
      </c>
      <c r="G88" s="133">
        <v>15000</v>
      </c>
      <c r="N88" s="133"/>
    </row>
    <row r="89" spans="1:6" ht="12.75">
      <c r="A89" s="58" t="s">
        <v>218</v>
      </c>
      <c r="B89" s="59"/>
      <c r="C89" s="60">
        <v>209039</v>
      </c>
      <c r="D89" s="61">
        <v>233189.78</v>
      </c>
      <c r="E89" s="61">
        <v>261713</v>
      </c>
      <c r="F89" s="61">
        <v>279230</v>
      </c>
    </row>
    <row r="90" spans="1:6" ht="12.75">
      <c r="A90" s="34" t="s">
        <v>219</v>
      </c>
      <c r="B90" s="35"/>
      <c r="C90" s="36"/>
      <c r="D90" s="37"/>
      <c r="E90" s="37"/>
      <c r="F90" s="37"/>
    </row>
    <row r="91" spans="1:6" ht="12.75">
      <c r="A91" s="38" t="s">
        <v>220</v>
      </c>
      <c r="B91" s="38" t="s">
        <v>221</v>
      </c>
      <c r="C91" s="39">
        <v>1600</v>
      </c>
      <c r="D91" s="40">
        <v>2054.61</v>
      </c>
      <c r="E91" s="40">
        <v>826</v>
      </c>
      <c r="F91" s="40">
        <v>1000</v>
      </c>
    </row>
    <row r="92" spans="1:16" ht="12.75">
      <c r="A92" s="41" t="s">
        <v>222</v>
      </c>
      <c r="B92" s="42"/>
      <c r="C92" s="43">
        <v>1600</v>
      </c>
      <c r="D92" s="43">
        <v>2054.61</v>
      </c>
      <c r="E92" s="43">
        <v>826</v>
      </c>
      <c r="F92" s="43">
        <v>1000</v>
      </c>
      <c r="P92" s="133">
        <f>F92</f>
        <v>1000</v>
      </c>
    </row>
    <row r="93" spans="1:6" ht="12.75">
      <c r="A93" s="34" t="s">
        <v>223</v>
      </c>
      <c r="B93" s="35"/>
      <c r="C93" s="46"/>
      <c r="D93" s="47"/>
      <c r="E93" s="47"/>
      <c r="F93" s="47"/>
    </row>
    <row r="94" spans="1:6" ht="12.75">
      <c r="A94" s="48" t="s">
        <v>224</v>
      </c>
      <c r="B94" s="48" t="s">
        <v>225</v>
      </c>
      <c r="C94" s="50"/>
      <c r="D94" s="50">
        <v>419</v>
      </c>
      <c r="E94" s="50"/>
      <c r="F94" s="50"/>
    </row>
    <row r="95" spans="1:6" ht="12.75">
      <c r="A95" s="51" t="s">
        <v>226</v>
      </c>
      <c r="B95" s="52"/>
      <c r="C95" s="53">
        <v>0</v>
      </c>
      <c r="D95" s="53">
        <v>419</v>
      </c>
      <c r="E95" s="53">
        <v>0</v>
      </c>
      <c r="F95" s="53">
        <v>0</v>
      </c>
    </row>
    <row r="96" spans="1:6" ht="12.75">
      <c r="A96" s="62" t="s">
        <v>227</v>
      </c>
      <c r="B96" s="63"/>
      <c r="C96" s="64">
        <v>1600</v>
      </c>
      <c r="D96" s="64">
        <v>2473.61</v>
      </c>
      <c r="E96" s="64">
        <v>826</v>
      </c>
      <c r="F96" s="64">
        <v>1000</v>
      </c>
    </row>
    <row r="97" spans="1:6" ht="12.75">
      <c r="A97" s="34" t="s">
        <v>228</v>
      </c>
      <c r="B97" s="35"/>
      <c r="C97" s="36"/>
      <c r="D97" s="37"/>
      <c r="E97" s="37"/>
      <c r="F97" s="37"/>
    </row>
    <row r="98" spans="1:6" ht="12.75">
      <c r="A98" s="38" t="s">
        <v>229</v>
      </c>
      <c r="B98" s="38" t="s">
        <v>230</v>
      </c>
      <c r="C98" s="39">
        <v>5780</v>
      </c>
      <c r="D98" s="40">
        <v>11267.64</v>
      </c>
      <c r="E98" s="40">
        <v>16268</v>
      </c>
      <c r="F98" s="40">
        <v>16600</v>
      </c>
    </row>
    <row r="99" spans="1:6" ht="12.75">
      <c r="A99" s="38" t="s">
        <v>231</v>
      </c>
      <c r="B99" s="38" t="s">
        <v>232</v>
      </c>
      <c r="C99" s="39">
        <v>671</v>
      </c>
      <c r="D99" s="39">
        <v>4604.09</v>
      </c>
      <c r="E99" s="40">
        <v>1575</v>
      </c>
      <c r="F99" s="40">
        <v>750</v>
      </c>
    </row>
    <row r="100" spans="1:6" ht="12.75">
      <c r="A100" s="38" t="s">
        <v>233</v>
      </c>
      <c r="B100" s="38" t="s">
        <v>234</v>
      </c>
      <c r="C100" s="39">
        <v>43933</v>
      </c>
      <c r="D100" s="40">
        <v>34009.64</v>
      </c>
      <c r="E100" s="40">
        <v>37978</v>
      </c>
      <c r="F100" s="40">
        <v>35000</v>
      </c>
    </row>
    <row r="101" spans="1:6" ht="12.75">
      <c r="A101" s="38" t="s">
        <v>235</v>
      </c>
      <c r="B101" s="38" t="s">
        <v>236</v>
      </c>
      <c r="C101" s="39">
        <v>19275</v>
      </c>
      <c r="D101" s="39">
        <v>21237.95</v>
      </c>
      <c r="E101" s="40">
        <v>11334</v>
      </c>
      <c r="F101" s="40">
        <v>12000</v>
      </c>
    </row>
    <row r="102" spans="1:6" ht="12.75">
      <c r="A102" s="38" t="s">
        <v>237</v>
      </c>
      <c r="B102" s="38" t="s">
        <v>238</v>
      </c>
      <c r="C102" s="39"/>
      <c r="D102" s="40"/>
      <c r="E102" s="40"/>
      <c r="F102" s="39"/>
    </row>
    <row r="103" spans="1:16" ht="12.75">
      <c r="A103" s="41" t="s">
        <v>239</v>
      </c>
      <c r="B103" s="42"/>
      <c r="C103" s="43">
        <v>69659</v>
      </c>
      <c r="D103" s="44">
        <v>71119.31999999999</v>
      </c>
      <c r="E103" s="44">
        <v>67155</v>
      </c>
      <c r="F103" s="44">
        <v>64350</v>
      </c>
      <c r="P103" s="133">
        <f>F103</f>
        <v>64350</v>
      </c>
    </row>
    <row r="104" spans="1:6" ht="12.75">
      <c r="A104" s="34" t="s">
        <v>240</v>
      </c>
      <c r="B104" s="35"/>
      <c r="C104" s="36"/>
      <c r="D104" s="37"/>
      <c r="E104" s="37"/>
      <c r="F104" s="37"/>
    </row>
    <row r="105" spans="1:6" ht="12.75">
      <c r="A105" s="38" t="s">
        <v>241</v>
      </c>
      <c r="B105" s="38" t="s">
        <v>242</v>
      </c>
      <c r="C105" s="39">
        <v>3000</v>
      </c>
      <c r="D105" s="40">
        <v>2304.09</v>
      </c>
      <c r="E105" s="40">
        <v>3185</v>
      </c>
      <c r="F105" s="40">
        <v>3000</v>
      </c>
    </row>
    <row r="106" spans="1:17" ht="12.75">
      <c r="A106" s="41" t="s">
        <v>243</v>
      </c>
      <c r="B106" s="42"/>
      <c r="C106" s="43">
        <v>3000</v>
      </c>
      <c r="D106" s="44">
        <v>2304.09</v>
      </c>
      <c r="E106" s="44">
        <v>3185</v>
      </c>
      <c r="F106" s="44">
        <v>3000</v>
      </c>
      <c r="P106" s="133"/>
      <c r="Q106" s="133">
        <v>3000</v>
      </c>
    </row>
    <row r="107" spans="1:6" ht="12.75">
      <c r="A107" s="34" t="s">
        <v>244</v>
      </c>
      <c r="B107" s="35"/>
      <c r="C107" s="36"/>
      <c r="D107" s="37"/>
      <c r="E107" s="37"/>
      <c r="F107" s="37"/>
    </row>
    <row r="108" spans="1:6" ht="12.75">
      <c r="A108" s="38" t="s">
        <v>245</v>
      </c>
      <c r="B108" s="38" t="s">
        <v>246</v>
      </c>
      <c r="C108" s="39">
        <v>1000</v>
      </c>
      <c r="D108" s="40">
        <v>2000</v>
      </c>
      <c r="E108" s="39">
        <v>3000</v>
      </c>
      <c r="F108" s="39">
        <v>3000</v>
      </c>
    </row>
    <row r="109" spans="1:16" ht="12.75">
      <c r="A109" s="41" t="s">
        <v>247</v>
      </c>
      <c r="B109" s="42"/>
      <c r="C109" s="43">
        <v>1000</v>
      </c>
      <c r="D109" s="44">
        <v>2000</v>
      </c>
      <c r="E109" s="44">
        <v>3000</v>
      </c>
      <c r="F109" s="44">
        <v>3000</v>
      </c>
      <c r="P109" s="133">
        <f>F109</f>
        <v>3000</v>
      </c>
    </row>
    <row r="110" spans="1:6" ht="12.75">
      <c r="A110" s="34" t="s">
        <v>248</v>
      </c>
      <c r="B110" s="35"/>
      <c r="C110" s="36"/>
      <c r="D110" s="37"/>
      <c r="E110" s="37"/>
      <c r="F110" s="37"/>
    </row>
    <row r="111" spans="1:6" ht="12.75">
      <c r="A111" s="38" t="s">
        <v>249</v>
      </c>
      <c r="B111" s="38" t="s">
        <v>250</v>
      </c>
      <c r="C111" s="39">
        <v>115</v>
      </c>
      <c r="D111" s="40">
        <v>93.6</v>
      </c>
      <c r="E111" s="40">
        <v>91</v>
      </c>
      <c r="F111" s="40">
        <v>200</v>
      </c>
    </row>
    <row r="112" spans="1:16" ht="12.75">
      <c r="A112" s="41" t="s">
        <v>251</v>
      </c>
      <c r="B112" s="42"/>
      <c r="C112" s="43">
        <v>115</v>
      </c>
      <c r="D112" s="43">
        <v>93.6</v>
      </c>
      <c r="E112" s="43">
        <v>91</v>
      </c>
      <c r="F112" s="43">
        <v>200</v>
      </c>
      <c r="P112" s="133">
        <f>F112</f>
        <v>200</v>
      </c>
    </row>
    <row r="113" spans="1:16" ht="12.75">
      <c r="A113" s="34" t="s">
        <v>252</v>
      </c>
      <c r="B113" s="35"/>
      <c r="C113" s="36"/>
      <c r="D113" s="37"/>
      <c r="E113" s="37"/>
      <c r="F113" s="37"/>
      <c r="P113" s="133"/>
    </row>
    <row r="114" spans="1:16" ht="12.75">
      <c r="A114" s="38" t="s">
        <v>253</v>
      </c>
      <c r="B114" s="38" t="s">
        <v>254</v>
      </c>
      <c r="C114" s="39">
        <v>1000</v>
      </c>
      <c r="D114" s="40">
        <v>1000</v>
      </c>
      <c r="E114" s="39">
        <v>3000</v>
      </c>
      <c r="F114" s="39">
        <v>3000</v>
      </c>
      <c r="P114" s="133">
        <f>F114</f>
        <v>3000</v>
      </c>
    </row>
    <row r="115" spans="1:6" ht="12.75">
      <c r="A115" s="38" t="s">
        <v>255</v>
      </c>
      <c r="B115" s="38" t="s">
        <v>256</v>
      </c>
      <c r="C115" s="39">
        <v>1300</v>
      </c>
      <c r="D115" s="40"/>
      <c r="E115" s="40"/>
      <c r="F115" s="40"/>
    </row>
    <row r="116" spans="1:6" ht="12.75">
      <c r="A116" s="41" t="s">
        <v>257</v>
      </c>
      <c r="B116" s="42"/>
      <c r="C116" s="43">
        <v>1300</v>
      </c>
      <c r="D116" s="44">
        <v>1000</v>
      </c>
      <c r="E116" s="44"/>
      <c r="F116" s="44"/>
    </row>
    <row r="117" spans="1:6" ht="13.5" thickBot="1">
      <c r="A117" s="54" t="s">
        <v>258</v>
      </c>
      <c r="B117" s="55"/>
      <c r="C117" s="56">
        <v>76074</v>
      </c>
      <c r="D117" s="65">
        <v>76517.01</v>
      </c>
      <c r="E117" s="65">
        <v>76431</v>
      </c>
      <c r="F117" s="65">
        <v>73550</v>
      </c>
    </row>
    <row r="118" spans="1:6" ht="13.5" thickTop="1">
      <c r="A118" s="34" t="s">
        <v>259</v>
      </c>
      <c r="B118" s="35"/>
      <c r="C118" s="36"/>
      <c r="D118" s="37"/>
      <c r="E118" s="37"/>
      <c r="F118" s="37"/>
    </row>
    <row r="119" spans="1:6" ht="12.75">
      <c r="A119" s="38" t="s">
        <v>260</v>
      </c>
      <c r="B119" s="38" t="s">
        <v>261</v>
      </c>
      <c r="C119" s="39">
        <v>150</v>
      </c>
      <c r="D119" s="39">
        <v>158</v>
      </c>
      <c r="E119" s="39"/>
      <c r="F119" s="40"/>
    </row>
    <row r="120" spans="1:6" ht="12.75">
      <c r="A120" s="38" t="s">
        <v>262</v>
      </c>
      <c r="B120" s="38" t="s">
        <v>263</v>
      </c>
      <c r="C120" s="39">
        <v>22732</v>
      </c>
      <c r="D120" s="40">
        <v>25553.63</v>
      </c>
      <c r="E120" s="39">
        <v>24782</v>
      </c>
      <c r="F120" s="39">
        <v>25000</v>
      </c>
    </row>
    <row r="121" spans="1:6" ht="12.75">
      <c r="A121" s="38" t="s">
        <v>264</v>
      </c>
      <c r="B121" s="38" t="s">
        <v>265</v>
      </c>
      <c r="C121" s="39">
        <v>16660</v>
      </c>
      <c r="D121" s="40">
        <v>70.98</v>
      </c>
      <c r="E121" s="39"/>
      <c r="F121" s="39">
        <v>500</v>
      </c>
    </row>
    <row r="122" spans="1:11" ht="12.75">
      <c r="A122" s="41" t="s">
        <v>266</v>
      </c>
      <c r="B122" s="42"/>
      <c r="C122" s="43">
        <v>39542</v>
      </c>
      <c r="D122" s="44">
        <v>25782.61</v>
      </c>
      <c r="E122" s="44">
        <v>24782</v>
      </c>
      <c r="F122" s="44">
        <v>25500</v>
      </c>
      <c r="K122" s="133">
        <f>F122</f>
        <v>25500</v>
      </c>
    </row>
    <row r="123" spans="1:6" ht="12.75">
      <c r="A123" s="34" t="s">
        <v>267</v>
      </c>
      <c r="B123" s="35"/>
      <c r="C123" s="36"/>
      <c r="D123" s="37"/>
      <c r="E123" s="37"/>
      <c r="F123" s="37"/>
    </row>
    <row r="124" spans="1:6" ht="12.75">
      <c r="A124" s="38" t="s">
        <v>268</v>
      </c>
      <c r="B124" s="38" t="s">
        <v>269</v>
      </c>
      <c r="C124" s="39">
        <v>4956</v>
      </c>
      <c r="D124" s="40">
        <v>8009.74</v>
      </c>
      <c r="E124" s="39">
        <v>4432</v>
      </c>
      <c r="F124" s="39">
        <v>6000</v>
      </c>
    </row>
    <row r="125" spans="1:6" ht="12.75">
      <c r="A125" s="38" t="s">
        <v>270</v>
      </c>
      <c r="B125" s="38" t="s">
        <v>271</v>
      </c>
      <c r="C125" s="39">
        <v>3299</v>
      </c>
      <c r="D125" s="39">
        <v>998.42</v>
      </c>
      <c r="E125" s="39">
        <v>200</v>
      </c>
      <c r="F125" s="39">
        <v>1000</v>
      </c>
    </row>
    <row r="126" spans="1:14" ht="12.75">
      <c r="A126" s="41" t="s">
        <v>272</v>
      </c>
      <c r="B126" s="42"/>
      <c r="C126" s="43">
        <v>8255</v>
      </c>
      <c r="D126" s="44">
        <v>9008.16</v>
      </c>
      <c r="E126" s="44">
        <v>4632</v>
      </c>
      <c r="F126" s="44">
        <v>7000</v>
      </c>
      <c r="G126" s="132">
        <v>7000</v>
      </c>
      <c r="N126" s="133">
        <v>0</v>
      </c>
    </row>
    <row r="127" spans="1:6" ht="12.75">
      <c r="A127" s="34" t="s">
        <v>273</v>
      </c>
      <c r="B127" s="35"/>
      <c r="C127" s="36"/>
      <c r="D127" s="37"/>
      <c r="E127" s="37"/>
      <c r="F127" s="37"/>
    </row>
    <row r="128" spans="1:6" ht="12.75">
      <c r="A128" s="38" t="s">
        <v>274</v>
      </c>
      <c r="B128" s="38" t="s">
        <v>275</v>
      </c>
      <c r="C128" s="39">
        <v>87</v>
      </c>
      <c r="D128" s="40">
        <v>541.1</v>
      </c>
      <c r="E128" s="39">
        <v>6168</v>
      </c>
      <c r="F128" s="39">
        <v>500</v>
      </c>
    </row>
    <row r="129" spans="1:16" ht="12.75">
      <c r="A129" s="41" t="s">
        <v>276</v>
      </c>
      <c r="B129" s="42"/>
      <c r="C129" s="43">
        <v>87</v>
      </c>
      <c r="D129" s="44">
        <v>541.1</v>
      </c>
      <c r="E129" s="44">
        <v>6168</v>
      </c>
      <c r="F129" s="44">
        <v>500</v>
      </c>
      <c r="P129" s="133">
        <f>F129</f>
        <v>500</v>
      </c>
    </row>
    <row r="130" spans="1:6" ht="12.75">
      <c r="A130" s="38" t="s">
        <v>277</v>
      </c>
      <c r="B130" s="38" t="s">
        <v>278</v>
      </c>
      <c r="C130" s="43"/>
      <c r="D130" s="44"/>
      <c r="E130" s="44"/>
      <c r="F130" s="44"/>
    </row>
    <row r="131" spans="1:6" ht="12.75">
      <c r="A131" s="41" t="s">
        <v>279</v>
      </c>
      <c r="B131" s="42"/>
      <c r="C131" s="43"/>
      <c r="D131" s="44"/>
      <c r="E131" s="44"/>
      <c r="F131" s="44"/>
    </row>
    <row r="132" spans="1:6" ht="12.75">
      <c r="A132" s="38" t="s">
        <v>280</v>
      </c>
      <c r="B132" s="38" t="s">
        <v>281</v>
      </c>
      <c r="C132" s="43"/>
      <c r="D132" s="44"/>
      <c r="E132" s="44"/>
      <c r="F132" s="44"/>
    </row>
    <row r="133" spans="1:6" ht="12.75">
      <c r="A133" s="41" t="s">
        <v>266</v>
      </c>
      <c r="B133" s="42"/>
      <c r="C133" s="43"/>
      <c r="D133" s="44"/>
      <c r="E133" s="44"/>
      <c r="F133" s="44"/>
    </row>
    <row r="134" spans="1:6" ht="13.5" thickBot="1">
      <c r="A134" s="54" t="s">
        <v>282</v>
      </c>
      <c r="B134" s="55"/>
      <c r="C134" s="56">
        <v>47884</v>
      </c>
      <c r="D134" s="57">
        <v>35331.87</v>
      </c>
      <c r="E134" s="57">
        <v>35582</v>
      </c>
      <c r="F134" s="57">
        <v>33000</v>
      </c>
    </row>
    <row r="135" spans="1:6" ht="13.5" thickTop="1">
      <c r="A135" s="34" t="s">
        <v>283</v>
      </c>
      <c r="B135" s="35"/>
      <c r="C135" s="36"/>
      <c r="D135" s="37"/>
      <c r="E135" s="37"/>
      <c r="F135" s="37"/>
    </row>
    <row r="136" spans="1:9" ht="12.75">
      <c r="A136" s="38" t="s">
        <v>284</v>
      </c>
      <c r="B136" s="38" t="s">
        <v>285</v>
      </c>
      <c r="C136" s="39">
        <v>9846</v>
      </c>
      <c r="D136" s="39">
        <v>11825</v>
      </c>
      <c r="E136" s="39">
        <v>11109</v>
      </c>
      <c r="F136" s="40">
        <v>11100</v>
      </c>
      <c r="G136" s="135">
        <f>F136-I136</f>
        <v>7608</v>
      </c>
      <c r="I136" s="135">
        <v>3492</v>
      </c>
    </row>
    <row r="137" spans="1:16" ht="12.75">
      <c r="A137" s="38" t="s">
        <v>286</v>
      </c>
      <c r="B137" s="38" t="s">
        <v>287</v>
      </c>
      <c r="C137" s="39">
        <v>11369</v>
      </c>
      <c r="D137" s="40">
        <v>13041.64</v>
      </c>
      <c r="E137" s="40">
        <v>13001</v>
      </c>
      <c r="F137" s="40">
        <v>13200</v>
      </c>
      <c r="G137" s="135">
        <v>8765</v>
      </c>
      <c r="H137" s="135">
        <v>1530</v>
      </c>
      <c r="I137" s="135">
        <v>1513</v>
      </c>
      <c r="P137" s="133">
        <f>F137-SUM(G137:I137)</f>
        <v>1392</v>
      </c>
    </row>
    <row r="138" spans="1:16" ht="12.75">
      <c r="A138" s="38" t="s">
        <v>288</v>
      </c>
      <c r="B138" s="38" t="s">
        <v>289</v>
      </c>
      <c r="C138" s="39"/>
      <c r="D138" s="39">
        <v>2428.11</v>
      </c>
      <c r="E138" s="39">
        <v>3041</v>
      </c>
      <c r="F138" s="40">
        <v>3100</v>
      </c>
      <c r="G138" s="135">
        <f>G137/$F$137*$F$138</f>
        <v>2058.44696969697</v>
      </c>
      <c r="H138" s="135">
        <f>H137/$F$137*$F$138</f>
        <v>359.3181818181818</v>
      </c>
      <c r="I138" s="135">
        <f>I137/$F$137*$F$138</f>
        <v>355.32575757575756</v>
      </c>
      <c r="P138" s="133">
        <f>P137/$F$137*$F$138</f>
        <v>326.9090909090909</v>
      </c>
    </row>
    <row r="139" spans="1:16" ht="12.75">
      <c r="A139" s="38" t="s">
        <v>290</v>
      </c>
      <c r="B139" s="38" t="s">
        <v>291</v>
      </c>
      <c r="C139" s="39">
        <v>13974</v>
      </c>
      <c r="D139" s="40">
        <v>29083</v>
      </c>
      <c r="E139" s="40">
        <v>28934</v>
      </c>
      <c r="F139" s="39">
        <v>30000</v>
      </c>
      <c r="G139" s="135">
        <f>$F$139*G142/($F$142-$M$142)</f>
        <v>23339.423076923078</v>
      </c>
      <c r="H139" s="135"/>
      <c r="I139" s="135">
        <f>$F$139*I142/($F$142-$M$142)</f>
        <v>3245.1923076923076</v>
      </c>
      <c r="P139" s="135">
        <f>$F$139*P142/($F$142-$M$142)</f>
        <v>3415.3846153846152</v>
      </c>
    </row>
    <row r="140" spans="1:16" ht="12.75">
      <c r="A140" s="38" t="s">
        <v>292</v>
      </c>
      <c r="B140" s="38" t="s">
        <v>293</v>
      </c>
      <c r="C140" s="39"/>
      <c r="D140" s="40"/>
      <c r="E140" s="40"/>
      <c r="F140" s="39">
        <v>1000</v>
      </c>
      <c r="P140" s="133">
        <f>F140</f>
        <v>1000</v>
      </c>
    </row>
    <row r="141" spans="1:16" ht="12.75">
      <c r="A141" s="38" t="s">
        <v>294</v>
      </c>
      <c r="B141" s="38" t="s">
        <v>295</v>
      </c>
      <c r="C141" s="39">
        <v>95</v>
      </c>
      <c r="D141" s="40"/>
      <c r="E141" s="40"/>
      <c r="F141" s="40">
        <v>100</v>
      </c>
      <c r="P141" s="133">
        <f>F141</f>
        <v>100</v>
      </c>
    </row>
    <row r="142" spans="1:16" ht="12.75">
      <c r="A142" s="38" t="s">
        <v>296</v>
      </c>
      <c r="B142" s="38" t="s">
        <v>297</v>
      </c>
      <c r="C142" s="39">
        <v>46016</v>
      </c>
      <c r="D142" s="40">
        <v>51746.92</v>
      </c>
      <c r="E142" s="40">
        <v>65137</v>
      </c>
      <c r="F142" s="40">
        <v>67600</v>
      </c>
      <c r="G142" s="114">
        <v>32364</v>
      </c>
      <c r="I142" s="114">
        <v>4500</v>
      </c>
      <c r="M142" s="114">
        <v>26000</v>
      </c>
      <c r="P142" s="133">
        <f>F142-SUM(G142:M142)</f>
        <v>4736</v>
      </c>
    </row>
    <row r="143" spans="1:6" ht="13.5" thickBot="1">
      <c r="A143" s="54" t="s">
        <v>298</v>
      </c>
      <c r="B143" s="55"/>
      <c r="C143" s="56">
        <v>81300</v>
      </c>
      <c r="D143" s="57">
        <v>108124.67</v>
      </c>
      <c r="E143" s="57">
        <v>121222</v>
      </c>
      <c r="F143" s="57">
        <v>126100</v>
      </c>
    </row>
    <row r="144" spans="1:6" ht="13.5" thickTop="1">
      <c r="A144" s="34" t="s">
        <v>299</v>
      </c>
      <c r="B144" s="35"/>
      <c r="C144" s="36"/>
      <c r="D144" s="37"/>
      <c r="E144" s="37"/>
      <c r="F144" s="37"/>
    </row>
    <row r="145" spans="1:6" ht="12.75">
      <c r="A145" s="38" t="s">
        <v>300</v>
      </c>
      <c r="B145" s="38" t="s">
        <v>301</v>
      </c>
      <c r="C145" s="39">
        <v>7417</v>
      </c>
      <c r="D145" s="40">
        <v>22421.84</v>
      </c>
      <c r="E145" s="40">
        <v>40669</v>
      </c>
      <c r="F145" s="39">
        <v>68156</v>
      </c>
    </row>
    <row r="146" spans="1:6" ht="12.75">
      <c r="A146" s="41" t="s">
        <v>302</v>
      </c>
      <c r="B146" s="42"/>
      <c r="C146" s="43">
        <v>7417</v>
      </c>
      <c r="D146" s="44">
        <v>22421.84</v>
      </c>
      <c r="E146" s="44">
        <v>40669</v>
      </c>
      <c r="F146" s="44">
        <v>68156</v>
      </c>
    </row>
    <row r="147" spans="1:6" ht="12.75">
      <c r="A147" s="34" t="s">
        <v>303</v>
      </c>
      <c r="B147" s="35"/>
      <c r="C147" s="36"/>
      <c r="D147" s="37"/>
      <c r="E147" s="37"/>
      <c r="F147" s="37"/>
    </row>
    <row r="148" spans="1:6" ht="12.75">
      <c r="A148" s="38" t="s">
        <v>304</v>
      </c>
      <c r="B148" s="38" t="s">
        <v>305</v>
      </c>
      <c r="C148" s="39">
        <v>1729</v>
      </c>
      <c r="D148" s="39">
        <v>4617.07</v>
      </c>
      <c r="E148" s="39">
        <v>6896</v>
      </c>
      <c r="F148" s="40">
        <v>11390</v>
      </c>
    </row>
    <row r="149" spans="1:6" ht="12.75">
      <c r="A149" s="41" t="s">
        <v>306</v>
      </c>
      <c r="B149" s="42"/>
      <c r="C149" s="43">
        <v>1729</v>
      </c>
      <c r="D149" s="44">
        <v>4617.07</v>
      </c>
      <c r="E149" s="44">
        <v>6896</v>
      </c>
      <c r="F149" s="44">
        <v>11390</v>
      </c>
    </row>
    <row r="150" spans="1:6" ht="12.75">
      <c r="A150" s="38" t="s">
        <v>307</v>
      </c>
      <c r="B150" s="38" t="s">
        <v>308</v>
      </c>
      <c r="C150" s="39"/>
      <c r="D150" s="39"/>
      <c r="E150" s="39"/>
      <c r="F150" s="40"/>
    </row>
    <row r="151" spans="1:6" ht="12.75">
      <c r="A151" s="38" t="s">
        <v>309</v>
      </c>
      <c r="B151" s="38" t="s">
        <v>310</v>
      </c>
      <c r="C151" s="39"/>
      <c r="D151" s="39"/>
      <c r="E151" s="39"/>
      <c r="F151" s="40"/>
    </row>
    <row r="152" spans="1:6" ht="12.75">
      <c r="A152" s="41" t="s">
        <v>311</v>
      </c>
      <c r="B152" s="42"/>
      <c r="C152" s="43">
        <v>0</v>
      </c>
      <c r="D152" s="44">
        <v>0</v>
      </c>
      <c r="E152" s="44">
        <v>0</v>
      </c>
      <c r="F152" s="44">
        <v>0</v>
      </c>
    </row>
    <row r="153" spans="1:17" ht="13.5" thickBot="1">
      <c r="A153" s="54" t="s">
        <v>312</v>
      </c>
      <c r="B153" s="55"/>
      <c r="C153" s="56">
        <v>9146</v>
      </c>
      <c r="D153" s="57">
        <v>27038.91</v>
      </c>
      <c r="E153" s="57">
        <v>47565</v>
      </c>
      <c r="F153" s="57">
        <v>79546</v>
      </c>
      <c r="M153" s="133">
        <v>14627</v>
      </c>
      <c r="O153" s="133">
        <f>32341</f>
        <v>32341</v>
      </c>
      <c r="Q153" s="133">
        <f>F153-O153-M153</f>
        <v>32578</v>
      </c>
    </row>
    <row r="154" spans="1:6" ht="13.5" thickTop="1">
      <c r="A154" s="58" t="s">
        <v>313</v>
      </c>
      <c r="B154" s="59"/>
      <c r="C154" s="61">
        <v>591340</v>
      </c>
      <c r="D154" s="61">
        <v>634722.77</v>
      </c>
      <c r="E154" s="61">
        <v>727377</v>
      </c>
      <c r="F154" s="61">
        <v>776331</v>
      </c>
    </row>
    <row r="155" spans="1:17" ht="15">
      <c r="A155" s="225" t="s">
        <v>314</v>
      </c>
      <c r="B155" s="225"/>
      <c r="C155" s="225"/>
      <c r="D155" s="83"/>
      <c r="E155" s="226"/>
      <c r="F155" s="226"/>
      <c r="G155" s="115"/>
      <c r="H155" s="115"/>
      <c r="I155" s="115"/>
      <c r="J155" s="115"/>
      <c r="K155" s="115"/>
      <c r="L155" s="115"/>
      <c r="M155" s="115"/>
      <c r="N155" s="115"/>
      <c r="O155" s="115"/>
      <c r="P155" s="115"/>
      <c r="Q155" s="115"/>
    </row>
    <row r="156" spans="1:6" ht="12.75">
      <c r="A156" s="34" t="s">
        <v>315</v>
      </c>
      <c r="B156" s="35"/>
      <c r="C156" s="36"/>
      <c r="D156" s="37"/>
      <c r="E156" s="37"/>
      <c r="F156" s="37"/>
    </row>
    <row r="157" spans="1:6" ht="12.75">
      <c r="A157" s="38" t="s">
        <v>316</v>
      </c>
      <c r="B157" s="38" t="s">
        <v>317</v>
      </c>
      <c r="C157" s="39"/>
      <c r="D157" s="40">
        <v>85</v>
      </c>
      <c r="E157" s="40">
        <v>325</v>
      </c>
      <c r="F157" s="40">
        <v>130</v>
      </c>
    </row>
    <row r="158" spans="1:6" ht="12.75">
      <c r="A158" s="38" t="s">
        <v>318</v>
      </c>
      <c r="B158" s="38" t="s">
        <v>319</v>
      </c>
      <c r="C158" s="66"/>
      <c r="D158" s="39"/>
      <c r="E158" s="40"/>
      <c r="F158" s="40">
        <v>5000</v>
      </c>
    </row>
    <row r="159" spans="1:6" ht="12.75">
      <c r="A159" s="38" t="s">
        <v>320</v>
      </c>
      <c r="B159" s="38" t="s">
        <v>321</v>
      </c>
      <c r="C159" s="39">
        <v>20779</v>
      </c>
      <c r="D159" s="40">
        <v>8829.55</v>
      </c>
      <c r="E159" s="40">
        <v>14755</v>
      </c>
      <c r="F159" s="40">
        <v>18361</v>
      </c>
    </row>
    <row r="160" spans="1:6" ht="12.75">
      <c r="A160" s="38" t="s">
        <v>322</v>
      </c>
      <c r="B160" s="38" t="s">
        <v>323</v>
      </c>
      <c r="C160" s="39">
        <v>386</v>
      </c>
      <c r="D160" s="40">
        <v>1500</v>
      </c>
      <c r="E160" s="40">
        <v>909</v>
      </c>
      <c r="F160" s="40">
        <v>1500</v>
      </c>
    </row>
    <row r="161" spans="1:6" ht="12.75">
      <c r="A161" s="41" t="s">
        <v>324</v>
      </c>
      <c r="B161" s="42"/>
      <c r="C161" s="43">
        <v>21165</v>
      </c>
      <c r="D161" s="43">
        <v>10414.55</v>
      </c>
      <c r="E161" s="43">
        <v>15989</v>
      </c>
      <c r="F161" s="43">
        <v>24991</v>
      </c>
    </row>
    <row r="162" spans="1:6" ht="12.75">
      <c r="A162" s="34" t="s">
        <v>325</v>
      </c>
      <c r="B162" s="35"/>
      <c r="C162" s="36"/>
      <c r="D162" s="37"/>
      <c r="E162" s="37"/>
      <c r="F162" s="37"/>
    </row>
    <row r="163" spans="1:6" ht="12.75">
      <c r="A163" s="38" t="s">
        <v>326</v>
      </c>
      <c r="B163" s="38" t="s">
        <v>327</v>
      </c>
      <c r="C163" s="39">
        <v>3128</v>
      </c>
      <c r="D163" s="40">
        <v>1608.86</v>
      </c>
      <c r="E163" s="40">
        <v>2423</v>
      </c>
      <c r="F163" s="40">
        <v>4000</v>
      </c>
    </row>
    <row r="164" spans="1:6" ht="12.75">
      <c r="A164" s="38" t="s">
        <v>328</v>
      </c>
      <c r="B164" s="38" t="s">
        <v>329</v>
      </c>
      <c r="C164" s="39">
        <v>1363</v>
      </c>
      <c r="D164" s="39">
        <v>174.96</v>
      </c>
      <c r="E164" s="39"/>
      <c r="F164" s="40">
        <v>3000</v>
      </c>
    </row>
    <row r="165" spans="1:6" ht="12.75">
      <c r="A165" s="41" t="s">
        <v>330</v>
      </c>
      <c r="B165" s="42"/>
      <c r="C165" s="43">
        <v>4491</v>
      </c>
      <c r="D165" s="44">
        <v>1783.82</v>
      </c>
      <c r="E165" s="44">
        <v>2423</v>
      </c>
      <c r="F165" s="44">
        <v>7000</v>
      </c>
    </row>
    <row r="166" spans="1:6" ht="12.75">
      <c r="A166" s="34" t="s">
        <v>331</v>
      </c>
      <c r="B166" s="35"/>
      <c r="C166" s="36"/>
      <c r="D166" s="37"/>
      <c r="E166" s="37"/>
      <c r="F166" s="37"/>
    </row>
    <row r="167" spans="1:6" ht="12.75">
      <c r="A167" s="38" t="s">
        <v>332</v>
      </c>
      <c r="B167" s="38" t="s">
        <v>333</v>
      </c>
      <c r="C167" s="39">
        <v>24218</v>
      </c>
      <c r="D167" s="40">
        <v>25047.29</v>
      </c>
      <c r="E167" s="40">
        <v>30396</v>
      </c>
      <c r="F167" s="40">
        <v>28526</v>
      </c>
    </row>
    <row r="168" spans="1:6" ht="12.75">
      <c r="A168" s="38" t="s">
        <v>334</v>
      </c>
      <c r="B168" s="38" t="s">
        <v>335</v>
      </c>
      <c r="C168" s="39">
        <v>35514</v>
      </c>
      <c r="D168" s="40">
        <v>35627.87</v>
      </c>
      <c r="E168" s="40">
        <v>38083</v>
      </c>
      <c r="F168" s="40">
        <v>46000</v>
      </c>
    </row>
    <row r="169" spans="1:6" ht="12.75">
      <c r="A169" s="41" t="s">
        <v>336</v>
      </c>
      <c r="B169" s="42"/>
      <c r="C169" s="43">
        <v>59732</v>
      </c>
      <c r="D169" s="44">
        <v>60675.16</v>
      </c>
      <c r="E169" s="44">
        <v>68479</v>
      </c>
      <c r="F169" s="44">
        <v>74526</v>
      </c>
    </row>
    <row r="170" spans="1:6" ht="12.75">
      <c r="A170" s="34" t="s">
        <v>337</v>
      </c>
      <c r="B170" s="35"/>
      <c r="C170" s="36"/>
      <c r="D170" s="37"/>
      <c r="E170" s="37"/>
      <c r="F170" s="37"/>
    </row>
    <row r="171" spans="1:6" ht="12.75">
      <c r="A171" s="38" t="s">
        <v>338</v>
      </c>
      <c r="B171" s="38" t="s">
        <v>339</v>
      </c>
      <c r="C171" s="39">
        <v>8872</v>
      </c>
      <c r="D171" s="40">
        <v>6752.83</v>
      </c>
      <c r="E171" s="40">
        <v>10098</v>
      </c>
      <c r="F171" s="40">
        <v>11120</v>
      </c>
    </row>
    <row r="172" spans="1:6" ht="12.75">
      <c r="A172" s="38" t="s">
        <v>340</v>
      </c>
      <c r="B172" s="38" t="s">
        <v>341</v>
      </c>
      <c r="C172" s="39"/>
      <c r="D172" s="40"/>
      <c r="E172" s="40"/>
      <c r="F172" s="40">
        <v>8000</v>
      </c>
    </row>
    <row r="173" spans="1:6" ht="12.75">
      <c r="A173" s="38" t="s">
        <v>342</v>
      </c>
      <c r="B173" s="38" t="s">
        <v>343</v>
      </c>
      <c r="C173" s="39">
        <v>13093</v>
      </c>
      <c r="D173" s="40">
        <v>12306</v>
      </c>
      <c r="E173" s="40">
        <v>10945</v>
      </c>
      <c r="F173" s="40">
        <v>14500</v>
      </c>
    </row>
    <row r="174" spans="1:6" ht="12.75">
      <c r="A174" s="41" t="s">
        <v>344</v>
      </c>
      <c r="B174" s="38"/>
      <c r="C174" s="43">
        <v>21965</v>
      </c>
      <c r="D174" s="43">
        <v>19058.83</v>
      </c>
      <c r="E174" s="43">
        <v>21043</v>
      </c>
      <c r="F174" s="43">
        <v>33620</v>
      </c>
    </row>
    <row r="175" spans="1:6" ht="13.5" thickBot="1">
      <c r="A175" s="54" t="s">
        <v>345</v>
      </c>
      <c r="B175" s="67"/>
      <c r="C175" s="56">
        <v>107353</v>
      </c>
      <c r="D175" s="56">
        <v>91932.36</v>
      </c>
      <c r="E175" s="56">
        <v>107934</v>
      </c>
      <c r="F175" s="56">
        <v>140137</v>
      </c>
    </row>
    <row r="176" spans="1:6" ht="13.5" thickTop="1">
      <c r="A176" s="34" t="s">
        <v>346</v>
      </c>
      <c r="B176" s="35"/>
      <c r="C176" s="36"/>
      <c r="D176" s="37"/>
      <c r="E176" s="37"/>
      <c r="F176" s="37"/>
    </row>
    <row r="177" spans="1:6" ht="12.75">
      <c r="A177" s="38" t="s">
        <v>347</v>
      </c>
      <c r="B177" s="38" t="s">
        <v>348</v>
      </c>
      <c r="C177" s="39">
        <v>5000</v>
      </c>
      <c r="D177" s="40">
        <v>6000</v>
      </c>
      <c r="E177" s="40">
        <v>6000</v>
      </c>
      <c r="F177" s="40">
        <v>5500</v>
      </c>
    </row>
    <row r="178" spans="1:6" ht="12.75">
      <c r="A178" s="38" t="s">
        <v>349</v>
      </c>
      <c r="B178" s="38" t="s">
        <v>350</v>
      </c>
      <c r="C178" s="39">
        <v>4337</v>
      </c>
      <c r="D178" s="40">
        <v>2718</v>
      </c>
      <c r="E178" s="40">
        <v>3563</v>
      </c>
      <c r="F178" s="40">
        <v>3844</v>
      </c>
    </row>
    <row r="179" spans="1:6" ht="12.75">
      <c r="A179" s="38" t="s">
        <v>288</v>
      </c>
      <c r="B179" s="38" t="s">
        <v>351</v>
      </c>
      <c r="C179" s="39"/>
      <c r="D179" s="40">
        <v>533</v>
      </c>
      <c r="E179" s="40">
        <v>833</v>
      </c>
      <c r="F179" s="40">
        <v>900</v>
      </c>
    </row>
    <row r="180" spans="1:6" ht="12.75">
      <c r="A180" s="38" t="s">
        <v>352</v>
      </c>
      <c r="B180" s="38" t="s">
        <v>353</v>
      </c>
      <c r="C180" s="39">
        <v>1200</v>
      </c>
      <c r="D180" s="39">
        <v>1000</v>
      </c>
      <c r="E180" s="40"/>
      <c r="F180" s="40">
        <v>1000</v>
      </c>
    </row>
    <row r="181" spans="1:6" ht="12.75">
      <c r="A181" s="38" t="s">
        <v>354</v>
      </c>
      <c r="B181" s="38" t="s">
        <v>355</v>
      </c>
      <c r="C181" s="39"/>
      <c r="D181" s="40"/>
      <c r="E181" s="40"/>
      <c r="F181" s="40">
        <v>100</v>
      </c>
    </row>
    <row r="182" spans="1:6" ht="12.75">
      <c r="A182" s="38" t="s">
        <v>356</v>
      </c>
      <c r="B182" s="38" t="s">
        <v>357</v>
      </c>
      <c r="C182" s="39">
        <v>12593</v>
      </c>
      <c r="D182" s="40">
        <v>16386</v>
      </c>
      <c r="E182" s="40">
        <v>18742</v>
      </c>
      <c r="F182" s="40">
        <v>20175</v>
      </c>
    </row>
    <row r="183" spans="1:6" ht="13.5" thickBot="1">
      <c r="A183" s="54" t="s">
        <v>358</v>
      </c>
      <c r="B183" s="67"/>
      <c r="C183" s="56">
        <v>23130</v>
      </c>
      <c r="D183" s="56">
        <v>26637</v>
      </c>
      <c r="E183" s="56">
        <v>29138</v>
      </c>
      <c r="F183" s="56">
        <v>31519</v>
      </c>
    </row>
    <row r="184" spans="1:6" ht="13.5" thickTop="1">
      <c r="A184" s="34" t="s">
        <v>299</v>
      </c>
      <c r="B184" s="35"/>
      <c r="C184" s="36"/>
      <c r="D184" s="37"/>
      <c r="E184" s="37"/>
      <c r="F184" s="37"/>
    </row>
    <row r="185" spans="1:6" ht="12.75">
      <c r="A185" s="38" t="s">
        <v>359</v>
      </c>
      <c r="B185" s="38" t="s">
        <v>360</v>
      </c>
      <c r="C185" s="39">
        <v>47653</v>
      </c>
      <c r="D185" s="40">
        <v>48459</v>
      </c>
      <c r="E185" s="40">
        <v>49264</v>
      </c>
      <c r="F185" s="40">
        <v>50070</v>
      </c>
    </row>
    <row r="186" spans="1:6" ht="12.75">
      <c r="A186" s="38" t="s">
        <v>361</v>
      </c>
      <c r="B186" s="38" t="s">
        <v>362</v>
      </c>
      <c r="C186" s="39"/>
      <c r="D186" s="39"/>
      <c r="E186" s="39"/>
      <c r="F186" s="40"/>
    </row>
    <row r="187" spans="1:6" ht="13.5" thickBot="1">
      <c r="A187" s="54" t="s">
        <v>302</v>
      </c>
      <c r="B187" s="67"/>
      <c r="C187" s="56">
        <v>47653</v>
      </c>
      <c r="D187" s="56">
        <v>48459</v>
      </c>
      <c r="E187" s="56">
        <v>49264</v>
      </c>
      <c r="F187" s="56">
        <v>50070</v>
      </c>
    </row>
    <row r="188" spans="1:6" ht="13.5" thickTop="1">
      <c r="A188" s="34" t="s">
        <v>363</v>
      </c>
      <c r="B188" s="35"/>
      <c r="C188" s="36"/>
      <c r="D188" s="37"/>
      <c r="E188" s="37"/>
      <c r="F188" s="37"/>
    </row>
    <row r="189" spans="1:6" ht="12.75">
      <c r="A189" s="38" t="s">
        <v>364</v>
      </c>
      <c r="B189" s="38" t="s">
        <v>365</v>
      </c>
      <c r="C189" s="39"/>
      <c r="D189" s="40"/>
      <c r="E189" s="68"/>
      <c r="F189" s="68"/>
    </row>
    <row r="190" spans="1:6" ht="12.75">
      <c r="A190" s="38" t="s">
        <v>366</v>
      </c>
      <c r="B190" s="38" t="s">
        <v>367</v>
      </c>
      <c r="C190" s="39">
        <v>16628</v>
      </c>
      <c r="D190" s="40">
        <v>16042.5</v>
      </c>
      <c r="E190" s="40">
        <v>15458</v>
      </c>
      <c r="F190" s="40">
        <v>14873</v>
      </c>
    </row>
    <row r="191" spans="1:6" ht="13.5" thickBot="1">
      <c r="A191" s="69" t="s">
        <v>368</v>
      </c>
      <c r="B191" s="70"/>
      <c r="C191" s="71">
        <v>16628</v>
      </c>
      <c r="D191" s="71">
        <v>16042.5</v>
      </c>
      <c r="E191" s="71">
        <v>15458</v>
      </c>
      <c r="F191" s="71">
        <v>14873</v>
      </c>
    </row>
    <row r="192" spans="1:17" ht="13.5" thickTop="1">
      <c r="A192" s="58" t="s">
        <v>369</v>
      </c>
      <c r="B192" s="59"/>
      <c r="C192" s="60">
        <v>194764</v>
      </c>
      <c r="D192" s="60">
        <v>183070.86</v>
      </c>
      <c r="E192" s="60">
        <v>201794</v>
      </c>
      <c r="F192" s="60">
        <v>236599</v>
      </c>
      <c r="Q192" s="133">
        <f>F192</f>
        <v>236599</v>
      </c>
    </row>
    <row r="193" spans="1:17" ht="15">
      <c r="A193" s="225" t="s">
        <v>370</v>
      </c>
      <c r="B193" s="225"/>
      <c r="C193" s="225"/>
      <c r="D193" s="83"/>
      <c r="E193" s="226"/>
      <c r="F193" s="226"/>
      <c r="G193" s="115"/>
      <c r="H193" s="115"/>
      <c r="I193" s="115"/>
      <c r="J193" s="115"/>
      <c r="K193" s="115"/>
      <c r="L193" s="115"/>
      <c r="M193" s="115"/>
      <c r="N193" s="115"/>
      <c r="O193" s="115"/>
      <c r="P193" s="115"/>
      <c r="Q193" s="115"/>
    </row>
    <row r="194" spans="1:6" ht="12.75" customHeight="1">
      <c r="A194" s="34" t="s">
        <v>371</v>
      </c>
      <c r="B194" s="35"/>
      <c r="C194" s="36"/>
      <c r="D194" s="37"/>
      <c r="E194" s="37"/>
      <c r="F194" s="37"/>
    </row>
    <row r="195" spans="1:6" ht="12.75" customHeight="1">
      <c r="A195" s="68" t="s">
        <v>372</v>
      </c>
      <c r="B195" s="38" t="s">
        <v>373</v>
      </c>
      <c r="C195" s="39" t="s">
        <v>374</v>
      </c>
      <c r="D195" s="40">
        <v>3309.72</v>
      </c>
      <c r="E195" s="40"/>
      <c r="F195" s="39">
        <v>10000</v>
      </c>
    </row>
    <row r="196" spans="1:6" ht="12.75" customHeight="1">
      <c r="A196" s="68" t="s">
        <v>155</v>
      </c>
      <c r="B196" s="38" t="s">
        <v>375</v>
      </c>
      <c r="C196" s="39">
        <v>1302</v>
      </c>
      <c r="D196" s="40">
        <v>9590.85</v>
      </c>
      <c r="E196" s="40"/>
      <c r="F196" s="39"/>
    </row>
    <row r="197" spans="1:6" ht="12.75" customHeight="1">
      <c r="A197" s="68" t="s">
        <v>376</v>
      </c>
      <c r="B197" s="38" t="s">
        <v>377</v>
      </c>
      <c r="C197" s="39">
        <v>20244</v>
      </c>
      <c r="D197" s="40">
        <v>92.52</v>
      </c>
      <c r="E197" s="40">
        <v>17541</v>
      </c>
      <c r="F197" s="40">
        <v>20075</v>
      </c>
    </row>
    <row r="198" spans="1:6" ht="12.75" customHeight="1">
      <c r="A198" s="68" t="s">
        <v>378</v>
      </c>
      <c r="B198" s="72" t="s">
        <v>379</v>
      </c>
      <c r="C198" s="66"/>
      <c r="D198" s="40">
        <v>25132.15</v>
      </c>
      <c r="E198" s="40"/>
      <c r="F198" s="39">
        <v>1000</v>
      </c>
    </row>
    <row r="199" spans="1:6" ht="12.75" customHeight="1">
      <c r="A199" s="68" t="s">
        <v>380</v>
      </c>
      <c r="B199" s="38" t="s">
        <v>381</v>
      </c>
      <c r="C199" s="39">
        <v>29415</v>
      </c>
      <c r="D199" s="40">
        <v>999.99</v>
      </c>
      <c r="E199" s="40">
        <v>33459</v>
      </c>
      <c r="F199" s="39">
        <v>26225</v>
      </c>
    </row>
    <row r="200" spans="1:6" ht="12.75" customHeight="1">
      <c r="A200" s="68" t="s">
        <v>382</v>
      </c>
      <c r="B200" s="38" t="s">
        <v>383</v>
      </c>
      <c r="C200" s="39">
        <v>2500</v>
      </c>
      <c r="D200" s="40">
        <v>14455.35</v>
      </c>
      <c r="E200" s="40"/>
      <c r="F200" s="40">
        <v>30000</v>
      </c>
    </row>
    <row r="201" spans="1:6" ht="12.75" customHeight="1">
      <c r="A201" s="68" t="s">
        <v>384</v>
      </c>
      <c r="B201" s="38" t="s">
        <v>385</v>
      </c>
      <c r="C201" s="39">
        <v>17142</v>
      </c>
      <c r="D201" s="39">
        <v>72314</v>
      </c>
      <c r="E201" s="40">
        <v>71925</v>
      </c>
      <c r="F201" s="40">
        <v>30000</v>
      </c>
    </row>
    <row r="202" spans="1:6" ht="12.75" customHeight="1">
      <c r="A202" s="68" t="s">
        <v>386</v>
      </c>
      <c r="B202" s="38" t="s">
        <v>387</v>
      </c>
      <c r="C202" s="39">
        <v>59445</v>
      </c>
      <c r="D202" s="40"/>
      <c r="E202" s="40">
        <v>71645</v>
      </c>
      <c r="F202" s="40">
        <v>75845</v>
      </c>
    </row>
    <row r="203" spans="1:6" ht="12.75" customHeight="1">
      <c r="A203" s="68" t="s">
        <v>388</v>
      </c>
      <c r="B203" s="38" t="s">
        <v>389</v>
      </c>
      <c r="C203" s="66"/>
      <c r="E203" s="45"/>
      <c r="F203" s="39"/>
    </row>
    <row r="204" spans="1:6" ht="13.5" customHeight="1" thickBot="1">
      <c r="A204" s="54" t="s">
        <v>390</v>
      </c>
      <c r="B204" s="55"/>
      <c r="C204" s="56">
        <v>130048</v>
      </c>
      <c r="D204" s="56">
        <v>125894.58</v>
      </c>
      <c r="E204" s="56">
        <f>SUM(E195:E203)</f>
        <v>194570</v>
      </c>
      <c r="F204" s="56">
        <f>SUM(F195:F203)</f>
        <v>193145</v>
      </c>
    </row>
    <row r="205" spans="1:6" ht="13.5" customHeight="1" thickTop="1">
      <c r="A205" s="34" t="s">
        <v>391</v>
      </c>
      <c r="B205" s="35"/>
      <c r="C205" s="36"/>
      <c r="D205" s="37"/>
      <c r="E205" s="37"/>
      <c r="F205" s="37"/>
    </row>
    <row r="206" spans="1:6" ht="12.75" customHeight="1">
      <c r="A206" s="68" t="s">
        <v>349</v>
      </c>
      <c r="B206" s="38" t="s">
        <v>392</v>
      </c>
      <c r="C206" s="39">
        <v>3722</v>
      </c>
      <c r="D206" s="40">
        <v>2286.15</v>
      </c>
      <c r="E206" s="40">
        <v>3200</v>
      </c>
      <c r="F206" s="40">
        <v>2871</v>
      </c>
    </row>
    <row r="207" spans="1:6" ht="12.75" customHeight="1">
      <c r="A207" s="68" t="s">
        <v>393</v>
      </c>
      <c r="B207" s="38" t="s">
        <v>394</v>
      </c>
      <c r="C207" s="39"/>
      <c r="D207" s="40">
        <v>446.85</v>
      </c>
      <c r="E207" s="40">
        <v>748</v>
      </c>
      <c r="F207" s="40">
        <v>671</v>
      </c>
    </row>
    <row r="208" spans="1:6" ht="12.75" customHeight="1">
      <c r="A208" s="68" t="s">
        <v>359</v>
      </c>
      <c r="B208" s="38" t="s">
        <v>395</v>
      </c>
      <c r="C208" s="39">
        <v>5000</v>
      </c>
      <c r="D208" s="39">
        <v>75000</v>
      </c>
      <c r="E208" s="40">
        <v>103000</v>
      </c>
      <c r="F208" s="40">
        <v>64524</v>
      </c>
    </row>
    <row r="209" spans="1:6" ht="12.75" customHeight="1">
      <c r="A209" s="68" t="s">
        <v>366</v>
      </c>
      <c r="B209" s="38" t="s">
        <v>396</v>
      </c>
      <c r="C209" s="39">
        <v>6768</v>
      </c>
      <c r="D209" s="40">
        <v>6461.87</v>
      </c>
      <c r="E209" s="40">
        <v>2488</v>
      </c>
      <c r="F209" s="39"/>
    </row>
    <row r="210" spans="1:6" ht="12.75" customHeight="1">
      <c r="A210" s="68" t="s">
        <v>361</v>
      </c>
      <c r="B210" s="38" t="s">
        <v>397</v>
      </c>
      <c r="C210" s="39">
        <v>70000</v>
      </c>
      <c r="D210" s="40"/>
      <c r="E210" s="39">
        <v>63432</v>
      </c>
      <c r="F210" s="39"/>
    </row>
    <row r="211" spans="1:6" ht="12.75" customHeight="1">
      <c r="A211" s="68" t="s">
        <v>398</v>
      </c>
      <c r="B211" s="38" t="s">
        <v>399</v>
      </c>
      <c r="C211" s="39"/>
      <c r="D211" s="40"/>
      <c r="E211" s="40"/>
      <c r="F211" s="39"/>
    </row>
    <row r="212" spans="1:6" ht="13.5" customHeight="1" thickBot="1">
      <c r="A212" s="54" t="s">
        <v>312</v>
      </c>
      <c r="B212" s="55"/>
      <c r="C212" s="56">
        <v>85490</v>
      </c>
      <c r="D212" s="56">
        <f>SUM(D206:D211)</f>
        <v>84194.87</v>
      </c>
      <c r="E212" s="56">
        <f>SUM(E206:E211)</f>
        <v>172868</v>
      </c>
      <c r="F212" s="56">
        <f>SUM(F206:F211)</f>
        <v>68066</v>
      </c>
    </row>
    <row r="213" spans="1:17" ht="13.5" thickTop="1">
      <c r="A213" s="58" t="s">
        <v>400</v>
      </c>
      <c r="B213" s="59"/>
      <c r="C213" s="60">
        <v>215538</v>
      </c>
      <c r="D213" s="61">
        <v>210089.45</v>
      </c>
      <c r="E213" s="61">
        <f>SUM(E204,E212)</f>
        <v>367438</v>
      </c>
      <c r="F213" s="61">
        <f>SUM(F204,F212)</f>
        <v>261211</v>
      </c>
      <c r="Q213" s="133">
        <f>F213</f>
        <v>261211</v>
      </c>
    </row>
    <row r="214" spans="1:17" ht="15">
      <c r="A214" s="227" t="s">
        <v>401</v>
      </c>
      <c r="B214" s="227"/>
      <c r="C214" s="227"/>
      <c r="D214" s="33"/>
      <c r="E214" s="226"/>
      <c r="F214" s="226"/>
      <c r="G214" s="115"/>
      <c r="H214" s="115"/>
      <c r="I214" s="115"/>
      <c r="J214" s="115"/>
      <c r="K214" s="115"/>
      <c r="L214" s="115"/>
      <c r="M214" s="115"/>
      <c r="N214" s="115"/>
      <c r="O214" s="115"/>
      <c r="P214" s="115"/>
      <c r="Q214" s="115"/>
    </row>
    <row r="215" spans="1:6" ht="12.75">
      <c r="A215" s="34" t="s">
        <v>146</v>
      </c>
      <c r="B215" s="35"/>
      <c r="C215" s="36"/>
      <c r="D215" s="37"/>
      <c r="E215" s="37"/>
      <c r="F215" s="37"/>
    </row>
    <row r="216" spans="1:6" ht="12.75">
      <c r="A216" s="68" t="s">
        <v>372</v>
      </c>
      <c r="B216" s="38" t="s">
        <v>402</v>
      </c>
      <c r="C216" s="39"/>
      <c r="D216" s="40"/>
      <c r="E216" s="40"/>
      <c r="F216" s="39"/>
    </row>
    <row r="217" spans="1:6" ht="12.75">
      <c r="A217" s="68" t="s">
        <v>140</v>
      </c>
      <c r="B217" s="38" t="s">
        <v>403</v>
      </c>
      <c r="C217" s="39">
        <v>7510</v>
      </c>
      <c r="D217" s="39">
        <v>6621.08</v>
      </c>
      <c r="E217" s="40">
        <v>11054</v>
      </c>
      <c r="F217" s="40">
        <v>11100</v>
      </c>
    </row>
    <row r="218" spans="1:6" ht="12.75">
      <c r="A218" s="68" t="s">
        <v>318</v>
      </c>
      <c r="B218" s="38" t="s">
        <v>404</v>
      </c>
      <c r="C218" s="39"/>
      <c r="D218" s="40"/>
      <c r="E218" s="40"/>
      <c r="F218" s="40">
        <v>15000</v>
      </c>
    </row>
    <row r="219" spans="1:6" ht="12.75">
      <c r="A219" s="68" t="s">
        <v>405</v>
      </c>
      <c r="B219" s="38" t="s">
        <v>406</v>
      </c>
      <c r="C219" s="39"/>
      <c r="D219" s="39">
        <v>335</v>
      </c>
      <c r="E219" s="40">
        <v>294</v>
      </c>
      <c r="F219" s="40">
        <v>335</v>
      </c>
    </row>
    <row r="220" spans="1:6" ht="13.5" thickBot="1">
      <c r="A220" s="54" t="s">
        <v>157</v>
      </c>
      <c r="B220" s="55"/>
      <c r="C220" s="56">
        <v>7510</v>
      </c>
      <c r="D220" s="56">
        <v>6956.08</v>
      </c>
      <c r="E220" s="56">
        <v>11348</v>
      </c>
      <c r="F220" s="56">
        <v>26435</v>
      </c>
    </row>
    <row r="221" spans="1:6" ht="13.5" thickTop="1">
      <c r="A221" s="34" t="s">
        <v>407</v>
      </c>
      <c r="B221" s="35"/>
      <c r="C221" s="36"/>
      <c r="D221" s="37"/>
      <c r="E221" s="37"/>
      <c r="F221" s="37"/>
    </row>
    <row r="222" spans="1:6" ht="12.75">
      <c r="A222" s="68" t="s">
        <v>408</v>
      </c>
      <c r="B222" s="38" t="s">
        <v>409</v>
      </c>
      <c r="C222" s="39"/>
      <c r="D222" s="40"/>
      <c r="E222" s="40"/>
      <c r="F222" s="40"/>
    </row>
    <row r="223" spans="1:6" ht="12.75">
      <c r="A223" s="68" t="s">
        <v>410</v>
      </c>
      <c r="B223" s="38" t="s">
        <v>411</v>
      </c>
      <c r="C223" s="39"/>
      <c r="D223" s="39"/>
      <c r="E223" s="39"/>
      <c r="F223" s="40"/>
    </row>
    <row r="224" spans="1:6" ht="12.75">
      <c r="A224" s="68" t="s">
        <v>412</v>
      </c>
      <c r="B224" s="38" t="s">
        <v>413</v>
      </c>
      <c r="C224" s="39"/>
      <c r="D224" s="40">
        <v>3613.19</v>
      </c>
      <c r="E224" s="40">
        <v>2809</v>
      </c>
      <c r="F224" s="40">
        <v>4100</v>
      </c>
    </row>
    <row r="225" spans="1:6" ht="12.75">
      <c r="A225" s="41" t="s">
        <v>414</v>
      </c>
      <c r="B225" s="42"/>
      <c r="C225" s="43">
        <v>0</v>
      </c>
      <c r="D225" s="43">
        <v>3613.19</v>
      </c>
      <c r="E225" s="43">
        <v>2809</v>
      </c>
      <c r="F225" s="43">
        <v>4100</v>
      </c>
    </row>
    <row r="226" spans="1:6" ht="12.75">
      <c r="A226" s="34" t="s">
        <v>415</v>
      </c>
      <c r="B226" s="35"/>
      <c r="C226" s="36"/>
      <c r="D226" s="37"/>
      <c r="E226" s="37"/>
      <c r="F226" s="37"/>
    </row>
    <row r="227" spans="1:6" ht="12.75">
      <c r="A227" s="68" t="s">
        <v>380</v>
      </c>
      <c r="B227" s="38" t="s">
        <v>416</v>
      </c>
      <c r="C227" s="39">
        <v>33450</v>
      </c>
      <c r="D227" s="40">
        <v>36799.16</v>
      </c>
      <c r="E227" s="40">
        <v>44430</v>
      </c>
      <c r="F227" s="40">
        <v>43084</v>
      </c>
    </row>
    <row r="228" spans="1:6" ht="12.75">
      <c r="A228" s="68" t="s">
        <v>417</v>
      </c>
      <c r="B228" s="38" t="s">
        <v>418</v>
      </c>
      <c r="C228" s="39">
        <v>3257</v>
      </c>
      <c r="D228" s="40">
        <v>3218</v>
      </c>
      <c r="E228" s="40"/>
      <c r="F228" s="40">
        <v>7100</v>
      </c>
    </row>
    <row r="229" spans="1:6" ht="12.75">
      <c r="A229" s="68" t="s">
        <v>386</v>
      </c>
      <c r="B229" s="38" t="s">
        <v>419</v>
      </c>
      <c r="C229" s="39">
        <v>78076</v>
      </c>
      <c r="D229" s="40">
        <v>89360.94</v>
      </c>
      <c r="E229" s="40">
        <v>123729</v>
      </c>
      <c r="F229" s="40">
        <v>116400</v>
      </c>
    </row>
    <row r="230" spans="1:6" ht="12.75">
      <c r="A230" s="41" t="s">
        <v>420</v>
      </c>
      <c r="B230" s="42"/>
      <c r="C230" s="43">
        <v>114783</v>
      </c>
      <c r="D230" s="44">
        <v>129378.1</v>
      </c>
      <c r="E230" s="44">
        <v>168159</v>
      </c>
      <c r="F230" s="44">
        <v>166584</v>
      </c>
    </row>
    <row r="231" spans="1:6" ht="12.75">
      <c r="A231" s="58" t="s">
        <v>390</v>
      </c>
      <c r="B231" s="59"/>
      <c r="C231" s="60">
        <v>114783</v>
      </c>
      <c r="D231" s="61">
        <v>132991.29</v>
      </c>
      <c r="E231" s="61">
        <v>170968</v>
      </c>
      <c r="F231" s="61">
        <v>170684</v>
      </c>
    </row>
    <row r="232" spans="1:6" ht="12.75">
      <c r="A232" s="34" t="s">
        <v>346</v>
      </c>
      <c r="B232" s="35"/>
      <c r="C232" s="36"/>
      <c r="D232" s="37"/>
      <c r="E232" s="37"/>
      <c r="F232" s="37"/>
    </row>
    <row r="233" spans="1:6" ht="12.75">
      <c r="A233" s="68" t="s">
        <v>421</v>
      </c>
      <c r="B233" s="38" t="s">
        <v>422</v>
      </c>
      <c r="C233" s="39">
        <v>7400</v>
      </c>
      <c r="D233" s="40">
        <v>7500</v>
      </c>
      <c r="E233" s="40">
        <v>7500</v>
      </c>
      <c r="F233" s="40">
        <v>6300</v>
      </c>
    </row>
    <row r="234" spans="1:6" ht="12.75">
      <c r="A234" s="68" t="s">
        <v>349</v>
      </c>
      <c r="B234" s="38" t="s">
        <v>423</v>
      </c>
      <c r="C234" s="39">
        <v>2461</v>
      </c>
      <c r="D234" s="40">
        <v>2470.66</v>
      </c>
      <c r="E234" s="40">
        <v>2793</v>
      </c>
      <c r="F234" s="40">
        <v>2671</v>
      </c>
    </row>
    <row r="235" spans="1:6" ht="12.75">
      <c r="A235" s="68" t="s">
        <v>288</v>
      </c>
      <c r="B235" s="38" t="s">
        <v>424</v>
      </c>
      <c r="C235" s="39"/>
      <c r="D235" s="39">
        <v>460.39</v>
      </c>
      <c r="E235" s="40">
        <v>653</v>
      </c>
      <c r="F235" s="40">
        <v>625</v>
      </c>
    </row>
    <row r="236" spans="1:6" ht="12.75">
      <c r="A236" s="68" t="s">
        <v>425</v>
      </c>
      <c r="B236" s="38" t="s">
        <v>426</v>
      </c>
      <c r="C236" s="39">
        <v>8200</v>
      </c>
      <c r="D236" s="40">
        <v>7000</v>
      </c>
      <c r="E236" s="40">
        <v>7000</v>
      </c>
      <c r="F236" s="40">
        <v>7000</v>
      </c>
    </row>
    <row r="237" spans="1:6" ht="12.75">
      <c r="A237" s="68" t="s">
        <v>427</v>
      </c>
      <c r="B237" s="38" t="s">
        <v>428</v>
      </c>
      <c r="C237" s="39">
        <v>261</v>
      </c>
      <c r="D237" s="40"/>
      <c r="E237" s="40"/>
      <c r="F237" s="40">
        <v>300</v>
      </c>
    </row>
    <row r="238" spans="1:6" ht="12.75">
      <c r="A238" s="68" t="s">
        <v>429</v>
      </c>
      <c r="B238" s="38" t="s">
        <v>430</v>
      </c>
      <c r="C238" s="39">
        <v>14051</v>
      </c>
      <c r="D238" s="40">
        <v>7876.61</v>
      </c>
      <c r="E238" s="40">
        <v>10742</v>
      </c>
      <c r="F238" s="40">
        <v>15589</v>
      </c>
    </row>
    <row r="239" spans="1:6" ht="13.5" thickBot="1">
      <c r="A239" s="54" t="s">
        <v>358</v>
      </c>
      <c r="B239" s="55"/>
      <c r="C239" s="56">
        <v>32373</v>
      </c>
      <c r="D239" s="56">
        <v>25307.66</v>
      </c>
      <c r="E239" s="56">
        <v>28688</v>
      </c>
      <c r="F239" s="56">
        <v>32485</v>
      </c>
    </row>
    <row r="240" spans="1:17" ht="13.5" thickTop="1">
      <c r="A240" s="73" t="s">
        <v>431</v>
      </c>
      <c r="B240" s="74"/>
      <c r="C240" s="75">
        <v>154666</v>
      </c>
      <c r="D240" s="76">
        <v>165255.03</v>
      </c>
      <c r="E240" s="77">
        <v>211004</v>
      </c>
      <c r="F240" s="77">
        <v>229604</v>
      </c>
      <c r="Q240" s="116">
        <f>F240</f>
        <v>229604</v>
      </c>
    </row>
    <row r="241" spans="1:6" ht="12.75">
      <c r="A241" s="78" t="s">
        <v>432</v>
      </c>
      <c r="B241" s="79"/>
      <c r="C241" s="1">
        <f>SUM(C154)</f>
        <v>591340</v>
      </c>
      <c r="D241" s="1">
        <f>SUM(D154)</f>
        <v>634722.77</v>
      </c>
      <c r="E241" s="1">
        <f>SUM(E154)</f>
        <v>727377</v>
      </c>
      <c r="F241" s="1">
        <f>SUM(F154)</f>
        <v>776331</v>
      </c>
    </row>
    <row r="242" spans="1:6" ht="12.75">
      <c r="A242" s="78" t="s">
        <v>433</v>
      </c>
      <c r="B242" s="79"/>
      <c r="C242" s="1">
        <f>SUM(C192)</f>
        <v>194764</v>
      </c>
      <c r="D242" s="1">
        <f>SUM(D192)</f>
        <v>183070.86</v>
      </c>
      <c r="E242" s="1">
        <f>SUM(E192)</f>
        <v>201794</v>
      </c>
      <c r="F242" s="1">
        <f>SUM(F192)</f>
        <v>236599</v>
      </c>
    </row>
    <row r="243" spans="1:6" ht="12.75">
      <c r="A243" s="78" t="s">
        <v>434</v>
      </c>
      <c r="B243" s="79"/>
      <c r="C243" s="1">
        <f>SUM(C213)</f>
        <v>215538</v>
      </c>
      <c r="D243" s="1">
        <f>SUM(D213)</f>
        <v>210089.45</v>
      </c>
      <c r="E243" s="1">
        <f>SUM(E213)</f>
        <v>367438</v>
      </c>
      <c r="F243" s="1">
        <f>SUM(F213)</f>
        <v>261211</v>
      </c>
    </row>
    <row r="244" spans="1:6" ht="12.75">
      <c r="A244" s="78" t="s">
        <v>435</v>
      </c>
      <c r="B244" s="79"/>
      <c r="C244" s="1">
        <f>SUM(C240)</f>
        <v>154666</v>
      </c>
      <c r="D244" s="1">
        <f>SUM(D240)</f>
        <v>165255.03</v>
      </c>
      <c r="E244" s="1">
        <f>SUM(E240)</f>
        <v>211004</v>
      </c>
      <c r="F244" s="1">
        <f>SUM(F240)</f>
        <v>229604</v>
      </c>
    </row>
    <row r="245" spans="1:6" ht="12.75">
      <c r="A245" s="80" t="s">
        <v>436</v>
      </c>
      <c r="B245" s="79"/>
      <c r="C245" s="81">
        <f>SUM(C241:C244)</f>
        <v>1156308</v>
      </c>
      <c r="D245" s="81">
        <f>SUM(D241:D244)</f>
        <v>1193138.11</v>
      </c>
      <c r="E245" s="81">
        <f>SUM(E241:E244)</f>
        <v>1507613</v>
      </c>
      <c r="F245" s="81">
        <f>SUM(F241:F244)</f>
        <v>1503745</v>
      </c>
    </row>
    <row r="246" spans="1:17" ht="12.75">
      <c r="A246" s="85" t="s">
        <v>25</v>
      </c>
      <c r="B246" s="84"/>
      <c r="C246" s="84"/>
      <c r="D246" s="84"/>
      <c r="E246" s="84"/>
      <c r="F246" s="84"/>
      <c r="G246" s="117">
        <f>SUM(G3:G245)</f>
        <v>325364.87004662</v>
      </c>
      <c r="H246" s="117">
        <f aca="true" t="shared" si="0" ref="H246:Q246">SUM(H3:H245)</f>
        <v>62864.318181818184</v>
      </c>
      <c r="I246" s="117">
        <f>SUM(I3:I245)</f>
        <v>46335.518065268065</v>
      </c>
      <c r="J246" s="117">
        <f t="shared" si="0"/>
        <v>9600</v>
      </c>
      <c r="K246" s="117">
        <f t="shared" si="0"/>
        <v>25500</v>
      </c>
      <c r="L246" s="117">
        <f t="shared" si="0"/>
        <v>29000</v>
      </c>
      <c r="M246" s="117">
        <f t="shared" si="0"/>
        <v>40627</v>
      </c>
      <c r="N246" s="117">
        <f t="shared" si="0"/>
        <v>6000</v>
      </c>
      <c r="O246" s="117">
        <f t="shared" si="0"/>
        <v>85341</v>
      </c>
      <c r="P246" s="117">
        <f t="shared" si="0"/>
        <v>110120.2937062937</v>
      </c>
      <c r="Q246" s="117">
        <f t="shared" si="0"/>
        <v>762992</v>
      </c>
    </row>
    <row r="249" ht="12.75">
      <c r="F249" s="1"/>
    </row>
  </sheetData>
  <sheetProtection/>
  <mergeCells count="9">
    <mergeCell ref="A193:C193"/>
    <mergeCell ref="E193:F193"/>
    <mergeCell ref="A214:C214"/>
    <mergeCell ref="E214:F214"/>
    <mergeCell ref="A1:F1"/>
    <mergeCell ref="A3:C3"/>
    <mergeCell ref="E3:F3"/>
    <mergeCell ref="A155:C155"/>
    <mergeCell ref="E155:F155"/>
  </mergeCells>
  <printOptions/>
  <pageMargins left="0.75" right="0.75" top="1" bottom="0.74" header="0.5" footer="0.5"/>
  <pageSetup cellComments="asDisplayed" fitToHeight="15" fitToWidth="1" horizontalDpi="600" verticalDpi="600" orientation="landscape" scale="69" r:id="rId3"/>
  <headerFooter alignWithMargins="0">
    <oddHeader>&amp;CVillage Budget
Breakdown into Major Items</oddHeader>
    <oddFooter>&amp;CPage &amp;P of &amp;N</oddFooter>
  </headerFooter>
  <legacyDrawing r:id="rId2"/>
</worksheet>
</file>

<file path=xl/worksheets/sheet6.xml><?xml version="1.0" encoding="utf-8"?>
<worksheet xmlns="http://schemas.openxmlformats.org/spreadsheetml/2006/main" xmlns:r="http://schemas.openxmlformats.org/officeDocument/2006/relationships">
  <dimension ref="A1:AC41"/>
  <sheetViews>
    <sheetView zoomScalePageLayoutView="0" workbookViewId="0" topLeftCell="A1">
      <selection activeCell="F13" sqref="F13"/>
    </sheetView>
  </sheetViews>
  <sheetFormatPr defaultColWidth="9.140625" defaultRowHeight="12.75"/>
  <cols>
    <col min="1" max="1" width="9.57421875" style="0" customWidth="1"/>
    <col min="2" max="3" width="12.8515625" style="0" customWidth="1"/>
    <col min="4" max="4" width="13.57421875" style="0" customWidth="1"/>
    <col min="5" max="5" width="2.7109375" style="0" customWidth="1"/>
    <col min="6" max="6" width="36.7109375" style="0" bestFit="1" customWidth="1"/>
    <col min="14" max="14" width="17.421875" style="0" bestFit="1" customWidth="1"/>
    <col min="22" max="22" width="17.421875" style="0" bestFit="1" customWidth="1"/>
  </cols>
  <sheetData>
    <row r="1" spans="1:4" ht="12.75">
      <c r="A1" s="2" t="s">
        <v>472</v>
      </c>
      <c r="B1" s="2"/>
      <c r="C1" s="2"/>
      <c r="D1" s="141">
        <f>NewLevyandRates!H39</f>
        <v>45093956</v>
      </c>
    </row>
    <row r="2" spans="1:13" ht="12.75">
      <c r="A2" s="2" t="s">
        <v>473</v>
      </c>
      <c r="B2" s="2"/>
      <c r="C2" s="2"/>
      <c r="D2" s="141">
        <f>NewLevyandRates!G35</f>
        <v>185836094</v>
      </c>
      <c r="F2" s="204" t="s">
        <v>486</v>
      </c>
      <c r="G2" s="204"/>
      <c r="H2" s="204"/>
      <c r="I2" s="204"/>
      <c r="J2" s="204"/>
      <c r="K2" s="204"/>
      <c r="L2" s="204"/>
      <c r="M2" s="204"/>
    </row>
    <row r="3" spans="1:13" ht="12.75">
      <c r="A3" s="2"/>
      <c r="B3" s="2"/>
      <c r="C3" s="2"/>
      <c r="D3" s="2"/>
      <c r="F3" s="17"/>
      <c r="G3" s="17"/>
      <c r="H3" s="233" t="s">
        <v>475</v>
      </c>
      <c r="I3" s="233"/>
      <c r="J3" s="233"/>
      <c r="K3" s="233" t="s">
        <v>476</v>
      </c>
      <c r="L3" s="233"/>
      <c r="M3" s="233"/>
    </row>
    <row r="4" spans="1:13" ht="12.75">
      <c r="A4" s="2"/>
      <c r="B4" s="2"/>
      <c r="C4" s="2"/>
      <c r="D4" s="2"/>
      <c r="F4" s="17"/>
      <c r="G4" s="25" t="s">
        <v>474</v>
      </c>
      <c r="H4" s="25" t="s">
        <v>1</v>
      </c>
      <c r="I4" s="25" t="s">
        <v>2</v>
      </c>
      <c r="J4" s="25" t="s">
        <v>3</v>
      </c>
      <c r="K4" s="25" t="s">
        <v>1</v>
      </c>
      <c r="L4" s="25" t="s">
        <v>2</v>
      </c>
      <c r="M4" s="25" t="s">
        <v>3</v>
      </c>
    </row>
    <row r="5" spans="1:13" ht="12.75">
      <c r="A5" s="2"/>
      <c r="B5" s="2"/>
      <c r="C5" s="2"/>
      <c r="D5" s="2"/>
      <c r="F5" s="17" t="s">
        <v>460</v>
      </c>
      <c r="G5" s="142">
        <v>9.87</v>
      </c>
      <c r="H5" s="142">
        <v>0</v>
      </c>
      <c r="I5" s="142">
        <v>0</v>
      </c>
      <c r="J5" s="142">
        <v>0</v>
      </c>
      <c r="K5" s="142">
        <v>0</v>
      </c>
      <c r="L5" s="142">
        <v>0</v>
      </c>
      <c r="M5" s="142">
        <v>0</v>
      </c>
    </row>
    <row r="6" spans="1:13" ht="12.75">
      <c r="A6" s="2"/>
      <c r="B6" s="2"/>
      <c r="C6" s="2"/>
      <c r="D6" s="2"/>
      <c r="F6" s="17" t="s">
        <v>459</v>
      </c>
      <c r="G6" s="143">
        <v>4.51</v>
      </c>
      <c r="H6" s="143">
        <f>NewLevyandRates!B27</f>
        <v>4.342875394270825</v>
      </c>
      <c r="I6" s="143">
        <f>NewLevyandRates!B28</f>
        <v>4.445654136488685</v>
      </c>
      <c r="J6" s="143">
        <f>NewLevyandRates!B29</f>
        <v>4.596889557956379</v>
      </c>
      <c r="K6" s="143">
        <f>NewLevyandRates!B22</f>
        <v>5.976573097796599</v>
      </c>
      <c r="L6" s="143">
        <f>NewLevyandRates!B23</f>
        <v>6.079351840014459</v>
      </c>
      <c r="M6" s="143">
        <f>NewLevyandRates!B24</f>
        <v>6.230587261482153</v>
      </c>
    </row>
    <row r="7" spans="1:13" ht="12.75">
      <c r="A7" s="221" t="str">
        <f>Scenarios!A54</f>
        <v>Special Districts</v>
      </c>
      <c r="B7" s="221"/>
      <c r="C7" s="221"/>
      <c r="D7" s="221"/>
      <c r="F7" s="17" t="s">
        <v>461</v>
      </c>
      <c r="G7" s="143">
        <v>2.38</v>
      </c>
      <c r="H7" s="143">
        <f>NewLevyandRates!C27</f>
        <v>4.726482251612542</v>
      </c>
      <c r="I7" s="143">
        <f>NewLevyandRates!C28</f>
        <v>4.968631120712212</v>
      </c>
      <c r="J7" s="143">
        <f>NewLevyandRates!C29</f>
        <v>5.232304333731853</v>
      </c>
      <c r="K7" s="143">
        <f>NewLevyandRates!C22</f>
        <v>4.726482251612542</v>
      </c>
      <c r="L7" s="143">
        <f>NewLevyandRates!C23</f>
        <v>4.968631120712212</v>
      </c>
      <c r="M7" s="143">
        <f>NewLevyandRates!C24</f>
        <v>5.232304333731853</v>
      </c>
    </row>
    <row r="8" spans="1:13" ht="12.75">
      <c r="A8" s="2"/>
      <c r="B8" s="118"/>
      <c r="C8" s="118"/>
      <c r="D8" s="118"/>
      <c r="F8" s="17" t="s">
        <v>462</v>
      </c>
      <c r="G8" s="144">
        <v>2.09</v>
      </c>
      <c r="H8" s="144">
        <v>0</v>
      </c>
      <c r="I8" s="144">
        <v>0</v>
      </c>
      <c r="J8" s="144">
        <v>0</v>
      </c>
      <c r="K8" s="144">
        <v>0</v>
      </c>
      <c r="L8" s="144">
        <v>0</v>
      </c>
      <c r="M8" s="144">
        <v>0</v>
      </c>
    </row>
    <row r="9" spans="1:13" ht="12.75">
      <c r="A9" s="16" t="str">
        <f>Scenarios!A55</f>
        <v>Refuse/Recycling</v>
      </c>
      <c r="B9" s="16">
        <f>Scenarios!B55</f>
        <v>0</v>
      </c>
      <c r="C9" s="16">
        <f>Scenarios!C55</f>
        <v>25500</v>
      </c>
      <c r="D9" s="16">
        <f>Scenarios!D55</f>
        <v>25500</v>
      </c>
      <c r="F9" s="214" t="s">
        <v>484</v>
      </c>
      <c r="G9" s="215"/>
      <c r="H9" s="215"/>
      <c r="I9" s="215"/>
      <c r="J9" s="215"/>
      <c r="K9" s="215"/>
      <c r="L9" s="215"/>
      <c r="M9" s="216"/>
    </row>
    <row r="10" spans="1:13" ht="12.75">
      <c r="A10" s="2" t="str">
        <f>Scenarios!A56</f>
        <v>Lighting</v>
      </c>
      <c r="B10" s="16">
        <f>Scenarios!B56</f>
        <v>29000</v>
      </c>
      <c r="C10" s="16">
        <f>Scenarios!C56</f>
        <v>29000</v>
      </c>
      <c r="D10" s="16">
        <f>Scenarios!D56</f>
        <v>0</v>
      </c>
      <c r="F10" s="17" t="s">
        <v>543</v>
      </c>
      <c r="G10" s="142">
        <v>0</v>
      </c>
      <c r="H10" s="142">
        <f>B9/$D$1*1000</f>
        <v>0</v>
      </c>
      <c r="I10" s="142">
        <f aca="true" t="shared" si="0" ref="I10:J14">C9/$D$1*1000</f>
        <v>0.5654859822012511</v>
      </c>
      <c r="J10" s="142">
        <f t="shared" si="0"/>
        <v>0.5654859822012511</v>
      </c>
      <c r="K10" s="142">
        <f aca="true" t="shared" si="1" ref="K10:M14">H10</f>
        <v>0</v>
      </c>
      <c r="L10" s="142">
        <f t="shared" si="1"/>
        <v>0.5654859822012511</v>
      </c>
      <c r="M10" s="142">
        <f t="shared" si="1"/>
        <v>0.5654859822012511</v>
      </c>
    </row>
    <row r="11" spans="1:13" ht="12.75">
      <c r="A11" s="2" t="str">
        <f>Scenarios!A57</f>
        <v>Sidewalks Snow Removal</v>
      </c>
      <c r="B11" s="16">
        <f>Scenarios!B57</f>
        <v>0</v>
      </c>
      <c r="C11" s="16">
        <f>Scenarios!C57</f>
        <v>6000</v>
      </c>
      <c r="D11" s="16">
        <f>Scenarios!D57</f>
        <v>6000</v>
      </c>
      <c r="F11" s="17" t="s">
        <v>464</v>
      </c>
      <c r="G11" s="143">
        <v>0</v>
      </c>
      <c r="H11" s="143">
        <f>B10/$D$1*1000</f>
        <v>0.6431017052484816</v>
      </c>
      <c r="I11" s="143">
        <f t="shared" si="0"/>
        <v>0.6431017052484816</v>
      </c>
      <c r="J11" s="143">
        <f t="shared" si="0"/>
        <v>0</v>
      </c>
      <c r="K11" s="143">
        <f t="shared" si="1"/>
        <v>0.6431017052484816</v>
      </c>
      <c r="L11" s="143">
        <f t="shared" si="1"/>
        <v>0.6431017052484816</v>
      </c>
      <c r="M11" s="143">
        <f t="shared" si="1"/>
        <v>0</v>
      </c>
    </row>
    <row r="12" spans="1:13" ht="12.75">
      <c r="A12" s="2" t="str">
        <f>Scenarios!A58</f>
        <v>Village Debt Service District</v>
      </c>
      <c r="B12" s="16">
        <f>Scenarios!B58</f>
        <v>0</v>
      </c>
      <c r="C12" s="16">
        <f>Scenarios!C58</f>
        <v>0</v>
      </c>
      <c r="D12" s="16">
        <f>Scenarios!D58</f>
        <v>40627</v>
      </c>
      <c r="F12" s="17" t="s">
        <v>544</v>
      </c>
      <c r="G12" s="143">
        <v>0</v>
      </c>
      <c r="H12" s="143">
        <f>B11/$D$1*1000</f>
        <v>0</v>
      </c>
      <c r="I12" s="143">
        <f t="shared" si="0"/>
        <v>0.13305552522382377</v>
      </c>
      <c r="J12" s="143">
        <f t="shared" si="0"/>
        <v>0.13305552522382377</v>
      </c>
      <c r="K12" s="143">
        <f t="shared" si="1"/>
        <v>0</v>
      </c>
      <c r="L12" s="143">
        <f t="shared" si="1"/>
        <v>0.13305552522382377</v>
      </c>
      <c r="M12" s="143">
        <f t="shared" si="1"/>
        <v>0.13305552522382377</v>
      </c>
    </row>
    <row r="13" spans="1:13" ht="12.75">
      <c r="A13" s="2" t="str">
        <f>Scenarios!A59</f>
        <v>New Fire Services (Fire District #3 or Fire Protection District #2)</v>
      </c>
      <c r="B13" s="16">
        <f>Scenarios!B59</f>
        <v>85341</v>
      </c>
      <c r="C13" s="16">
        <f>Scenarios!C59</f>
        <v>85341</v>
      </c>
      <c r="D13" s="16">
        <f>Scenarios!D59</f>
        <v>85341</v>
      </c>
      <c r="F13" s="17" t="s">
        <v>463</v>
      </c>
      <c r="G13" s="143">
        <v>0</v>
      </c>
      <c r="H13" s="143">
        <f>B12/$D$1*1000</f>
        <v>0</v>
      </c>
      <c r="I13" s="143">
        <f t="shared" si="0"/>
        <v>0</v>
      </c>
      <c r="J13" s="143">
        <f t="shared" si="0"/>
        <v>0.9009411372113815</v>
      </c>
      <c r="K13" s="143">
        <f t="shared" si="1"/>
        <v>0</v>
      </c>
      <c r="L13" s="143">
        <f t="shared" si="1"/>
        <v>0</v>
      </c>
      <c r="M13" s="143">
        <f t="shared" si="1"/>
        <v>0.9009411372113815</v>
      </c>
    </row>
    <row r="14" spans="2:13" ht="15">
      <c r="B14" s="1"/>
      <c r="D14" s="1"/>
      <c r="F14" s="17" t="s">
        <v>465</v>
      </c>
      <c r="G14" s="143">
        <v>0</v>
      </c>
      <c r="H14" s="145">
        <f>B13/$D$1*1000</f>
        <v>1.8925152630210575</v>
      </c>
      <c r="I14" s="145">
        <f t="shared" si="0"/>
        <v>1.8925152630210575</v>
      </c>
      <c r="J14" s="145">
        <f t="shared" si="0"/>
        <v>1.8925152630210575</v>
      </c>
      <c r="K14" s="145">
        <f t="shared" si="1"/>
        <v>1.8925152630210575</v>
      </c>
      <c r="L14" s="145">
        <f t="shared" si="1"/>
        <v>1.8925152630210575</v>
      </c>
      <c r="M14" s="145">
        <f t="shared" si="1"/>
        <v>1.8925152630210575</v>
      </c>
    </row>
    <row r="15" spans="2:13" ht="12.75">
      <c r="B15" s="1"/>
      <c r="C15" s="1"/>
      <c r="F15" s="22" t="s">
        <v>485</v>
      </c>
      <c r="G15" s="144">
        <f aca="true" t="shared" si="2" ref="G15:M15">SUM(G10:G14)</f>
        <v>0</v>
      </c>
      <c r="H15" s="144">
        <f t="shared" si="2"/>
        <v>2.5356169682695393</v>
      </c>
      <c r="I15" s="144">
        <f t="shared" si="2"/>
        <v>3.2341584756946142</v>
      </c>
      <c r="J15" s="144">
        <f t="shared" si="2"/>
        <v>3.491997907657514</v>
      </c>
      <c r="K15" s="144">
        <f t="shared" si="2"/>
        <v>2.5356169682695393</v>
      </c>
      <c r="L15" s="144">
        <f t="shared" si="2"/>
        <v>3.2341584756946142</v>
      </c>
      <c r="M15" s="144">
        <f t="shared" si="2"/>
        <v>3.491997907657514</v>
      </c>
    </row>
    <row r="16" spans="2:21" ht="12.75">
      <c r="B16" s="1"/>
      <c r="C16" s="1"/>
      <c r="D16" s="1"/>
      <c r="F16" s="218" t="s">
        <v>489</v>
      </c>
      <c r="G16" s="218"/>
      <c r="H16" s="218"/>
      <c r="I16" s="218"/>
      <c r="J16" s="218"/>
      <c r="K16" s="218"/>
      <c r="L16" s="218"/>
      <c r="M16" s="218"/>
      <c r="N16" s="204" t="s">
        <v>482</v>
      </c>
      <c r="O16" s="204"/>
      <c r="P16" s="204"/>
      <c r="Q16" s="204"/>
      <c r="R16" s="204"/>
      <c r="S16" s="204"/>
      <c r="T16" s="204"/>
      <c r="U16" s="204"/>
    </row>
    <row r="17" spans="3:21" ht="12.75">
      <c r="C17" s="1"/>
      <c r="D17" s="1"/>
      <c r="F17" s="22" t="s">
        <v>487</v>
      </c>
      <c r="G17" s="142">
        <f>G5+G6+G7</f>
        <v>16.759999999999998</v>
      </c>
      <c r="H17" s="142">
        <f aca="true" t="shared" si="3" ref="H17:M17">H6+H7+H15</f>
        <v>11.604974614152908</v>
      </c>
      <c r="I17" s="142">
        <f t="shared" si="3"/>
        <v>12.648443732895512</v>
      </c>
      <c r="J17" s="142">
        <f t="shared" si="3"/>
        <v>13.321191799345744</v>
      </c>
      <c r="K17" s="142">
        <f t="shared" si="3"/>
        <v>13.238672317678681</v>
      </c>
      <c r="L17" s="142">
        <f t="shared" si="3"/>
        <v>14.282141436421284</v>
      </c>
      <c r="M17" s="142">
        <f t="shared" si="3"/>
        <v>14.95488950287152</v>
      </c>
      <c r="N17" s="17"/>
      <c r="O17" s="17"/>
      <c r="P17" s="233" t="s">
        <v>475</v>
      </c>
      <c r="Q17" s="233"/>
      <c r="R17" s="233"/>
      <c r="S17" s="233" t="s">
        <v>476</v>
      </c>
      <c r="T17" s="233"/>
      <c r="U17" s="233"/>
    </row>
    <row r="18" spans="2:21" ht="12.75">
      <c r="B18" s="1"/>
      <c r="D18" s="1"/>
      <c r="F18" s="22" t="s">
        <v>488</v>
      </c>
      <c r="G18" s="144">
        <f>G6+G7+G8</f>
        <v>8.98</v>
      </c>
      <c r="H18" s="144">
        <f aca="true" t="shared" si="4" ref="H18:M18">H6+H7</f>
        <v>9.069357645883368</v>
      </c>
      <c r="I18" s="144">
        <f t="shared" si="4"/>
        <v>9.414285257200897</v>
      </c>
      <c r="J18" s="144">
        <f t="shared" si="4"/>
        <v>9.82919389168823</v>
      </c>
      <c r="K18" s="144">
        <f t="shared" si="4"/>
        <v>10.70305534940914</v>
      </c>
      <c r="L18" s="144">
        <f t="shared" si="4"/>
        <v>11.04798296072667</v>
      </c>
      <c r="M18" s="144">
        <f t="shared" si="4"/>
        <v>11.462891595214007</v>
      </c>
      <c r="N18" s="17"/>
      <c r="O18" s="25" t="s">
        <v>474</v>
      </c>
      <c r="P18" s="25" t="s">
        <v>1</v>
      </c>
      <c r="Q18" s="25" t="s">
        <v>2</v>
      </c>
      <c r="R18" s="25" t="s">
        <v>3</v>
      </c>
      <c r="S18" s="25" t="s">
        <v>1</v>
      </c>
      <c r="T18" s="25" t="s">
        <v>2</v>
      </c>
      <c r="U18" s="25" t="s">
        <v>3</v>
      </c>
    </row>
    <row r="19" spans="2:21" ht="12.75">
      <c r="B19" s="1"/>
      <c r="C19" s="1"/>
      <c r="N19" s="17" t="s">
        <v>480</v>
      </c>
      <c r="O19" s="146">
        <f>G5+G6+G7</f>
        <v>16.759999999999998</v>
      </c>
      <c r="P19" s="146">
        <f aca="true" t="shared" si="5" ref="P19:U19">SUM(H5:H14)</f>
        <v>11.604974614152907</v>
      </c>
      <c r="Q19" s="146">
        <f t="shared" si="5"/>
        <v>12.64844373289551</v>
      </c>
      <c r="R19" s="146">
        <f t="shared" si="5"/>
        <v>13.321191799345744</v>
      </c>
      <c r="S19" s="146">
        <f t="shared" si="5"/>
        <v>13.23867231767868</v>
      </c>
      <c r="T19" s="146">
        <f t="shared" si="5"/>
        <v>14.282141436421284</v>
      </c>
      <c r="U19" s="146">
        <f t="shared" si="5"/>
        <v>14.95488950287152</v>
      </c>
    </row>
    <row r="20" spans="2:21" ht="12.75">
      <c r="B20" s="1"/>
      <c r="C20" s="1"/>
      <c r="D20" s="1"/>
      <c r="N20" s="26" t="s">
        <v>477</v>
      </c>
      <c r="O20" s="132"/>
      <c r="P20" s="147">
        <f aca="true" t="shared" si="6" ref="P20:U20">P19-$O$19</f>
        <v>-5.155025385847091</v>
      </c>
      <c r="Q20" s="147">
        <f t="shared" si="6"/>
        <v>-4.111556267104488</v>
      </c>
      <c r="R20" s="147">
        <f t="shared" si="6"/>
        <v>-3.438808200654254</v>
      </c>
      <c r="S20" s="147">
        <f t="shared" si="6"/>
        <v>-3.521327682321319</v>
      </c>
      <c r="T20" s="147">
        <f t="shared" si="6"/>
        <v>-2.477858563578714</v>
      </c>
      <c r="U20" s="147">
        <f t="shared" si="6"/>
        <v>-1.805110497128478</v>
      </c>
    </row>
    <row r="21" spans="3:21" ht="12.75">
      <c r="C21" s="1"/>
      <c r="D21" s="1"/>
      <c r="N21" s="139" t="s">
        <v>478</v>
      </c>
      <c r="O21" s="148"/>
      <c r="P21" s="149">
        <f aca="true" t="shared" si="7" ref="P21:U21">P20/$O$19</f>
        <v>-0.3075790803011391</v>
      </c>
      <c r="Q21" s="149">
        <f t="shared" si="7"/>
        <v>-0.24531958634274992</v>
      </c>
      <c r="R21" s="149">
        <f t="shared" si="7"/>
        <v>-0.205179486912545</v>
      </c>
      <c r="S21" s="149">
        <f t="shared" si="7"/>
        <v>-0.2101030836707231</v>
      </c>
      <c r="T21" s="149">
        <f t="shared" si="7"/>
        <v>-0.14784358971233377</v>
      </c>
      <c r="U21" s="149">
        <f t="shared" si="7"/>
        <v>-0.10770349028212876</v>
      </c>
    </row>
    <row r="22" spans="2:21" ht="12.75">
      <c r="B22" s="1"/>
      <c r="D22" s="1"/>
      <c r="N22" s="17" t="s">
        <v>481</v>
      </c>
      <c r="O22" s="146">
        <f>G6+G7+G8</f>
        <v>8.98</v>
      </c>
      <c r="P22" s="146">
        <f aca="true" t="shared" si="8" ref="P22:U22">H6+H7</f>
        <v>9.069357645883368</v>
      </c>
      <c r="Q22" s="146">
        <f t="shared" si="8"/>
        <v>9.414285257200897</v>
      </c>
      <c r="R22" s="146">
        <f t="shared" si="8"/>
        <v>9.82919389168823</v>
      </c>
      <c r="S22" s="146">
        <f t="shared" si="8"/>
        <v>10.70305534940914</v>
      </c>
      <c r="T22" s="146">
        <f t="shared" si="8"/>
        <v>11.04798296072667</v>
      </c>
      <c r="U22" s="146">
        <f t="shared" si="8"/>
        <v>11.462891595214007</v>
      </c>
    </row>
    <row r="23" spans="2:21" ht="12.75">
      <c r="B23" s="1"/>
      <c r="C23" s="1"/>
      <c r="F23" t="s">
        <v>479</v>
      </c>
      <c r="N23" s="26" t="s">
        <v>477</v>
      </c>
      <c r="O23" s="132"/>
      <c r="P23" s="147">
        <f aca="true" t="shared" si="9" ref="P23:U23">P22-$O$22</f>
        <v>0.08935764588336781</v>
      </c>
      <c r="Q23" s="147">
        <f t="shared" si="9"/>
        <v>0.43428525720089617</v>
      </c>
      <c r="R23" s="147">
        <f t="shared" si="9"/>
        <v>0.8491938916882305</v>
      </c>
      <c r="S23" s="147">
        <f t="shared" si="9"/>
        <v>1.7230553494091403</v>
      </c>
      <c r="T23" s="147">
        <f t="shared" si="9"/>
        <v>2.0679829607266704</v>
      </c>
      <c r="U23" s="147">
        <f t="shared" si="9"/>
        <v>2.4828915952140065</v>
      </c>
    </row>
    <row r="24" spans="2:21" ht="12.75">
      <c r="B24" s="1"/>
      <c r="C24" s="1"/>
      <c r="D24" s="1"/>
      <c r="N24" s="26" t="s">
        <v>478</v>
      </c>
      <c r="O24" s="148"/>
      <c r="P24" s="149">
        <f aca="true" t="shared" si="10" ref="P24:U24">P23/$O$22</f>
        <v>0.009950740076098865</v>
      </c>
      <c r="Q24" s="149">
        <f t="shared" si="10"/>
        <v>0.04836138721613543</v>
      </c>
      <c r="R24" s="149">
        <f t="shared" si="10"/>
        <v>0.09456502134612811</v>
      </c>
      <c r="S24" s="149">
        <f t="shared" si="10"/>
        <v>0.1918769876847595</v>
      </c>
      <c r="T24" s="149">
        <f t="shared" si="10"/>
        <v>0.23028763482479625</v>
      </c>
      <c r="U24" s="149">
        <f t="shared" si="10"/>
        <v>0.27649126895478915</v>
      </c>
    </row>
    <row r="25" spans="3:21" ht="12.75">
      <c r="C25" s="1"/>
      <c r="D25" s="1"/>
      <c r="N25" s="235" t="s">
        <v>492</v>
      </c>
      <c r="O25" s="235"/>
      <c r="P25" s="235"/>
      <c r="Q25" s="235"/>
      <c r="R25" s="235"/>
      <c r="S25" s="235"/>
      <c r="T25" s="235"/>
      <c r="U25" s="235"/>
    </row>
    <row r="26" spans="2:21" ht="12.75" customHeight="1">
      <c r="B26" s="1"/>
      <c r="D26" s="1"/>
      <c r="N26" s="17"/>
      <c r="O26" s="17"/>
      <c r="P26" s="233" t="s">
        <v>475</v>
      </c>
      <c r="Q26" s="233"/>
      <c r="R26" s="233"/>
      <c r="S26" s="233" t="s">
        <v>476</v>
      </c>
      <c r="T26" s="233"/>
      <c r="U26" s="233"/>
    </row>
    <row r="27" spans="2:29" ht="12.75">
      <c r="B27" s="1"/>
      <c r="C27" s="1"/>
      <c r="N27" s="17"/>
      <c r="O27" s="25" t="s">
        <v>474</v>
      </c>
      <c r="P27" s="25" t="s">
        <v>1</v>
      </c>
      <c r="Q27" s="25" t="s">
        <v>2</v>
      </c>
      <c r="R27" s="25" t="s">
        <v>3</v>
      </c>
      <c r="S27" s="25" t="s">
        <v>1</v>
      </c>
      <c r="T27" s="25" t="s">
        <v>2</v>
      </c>
      <c r="U27" s="25" t="s">
        <v>3</v>
      </c>
      <c r="X27" s="1">
        <f aca="true" t="shared" si="11" ref="X27:AC27">$O$28-P28</f>
        <v>515.5025385847091</v>
      </c>
      <c r="Y27" s="1">
        <f t="shared" si="11"/>
        <v>411.1556267104488</v>
      </c>
      <c r="Z27" s="1">
        <f t="shared" si="11"/>
        <v>343.8808200654255</v>
      </c>
      <c r="AA27" s="1">
        <f t="shared" si="11"/>
        <v>352.13276823213187</v>
      </c>
      <c r="AB27" s="1">
        <f t="shared" si="11"/>
        <v>247.78585635787135</v>
      </c>
      <c r="AC27" s="1">
        <f t="shared" si="11"/>
        <v>180.51104971284758</v>
      </c>
    </row>
    <row r="28" spans="14:21" ht="12.75">
      <c r="N28" s="17" t="s">
        <v>480</v>
      </c>
      <c r="O28" s="150">
        <f aca="true" t="shared" si="12" ref="O28:U28">O19*$X$29/1000</f>
        <v>1675.9999999999998</v>
      </c>
      <c r="P28" s="150">
        <f t="shared" si="12"/>
        <v>1160.4974614152907</v>
      </c>
      <c r="Q28" s="150">
        <f t="shared" si="12"/>
        <v>1264.844373289551</v>
      </c>
      <c r="R28" s="150">
        <f t="shared" si="12"/>
        <v>1332.1191799345743</v>
      </c>
      <c r="S28" s="150">
        <f t="shared" si="12"/>
        <v>1323.867231767868</v>
      </c>
      <c r="T28" s="150">
        <f t="shared" si="12"/>
        <v>1428.2141436421284</v>
      </c>
      <c r="U28" s="150">
        <f t="shared" si="12"/>
        <v>1495.4889502871522</v>
      </c>
    </row>
    <row r="29" spans="14:24" ht="12.75">
      <c r="N29" s="26" t="s">
        <v>477</v>
      </c>
      <c r="O29" s="132"/>
      <c r="P29" s="133">
        <f aca="true" t="shared" si="13" ref="P29:U29">P20*$X$29/1000</f>
        <v>-515.5025385847091</v>
      </c>
      <c r="Q29" s="133">
        <f t="shared" si="13"/>
        <v>-411.1556267104488</v>
      </c>
      <c r="R29" s="133">
        <f t="shared" si="13"/>
        <v>-343.88082006542544</v>
      </c>
      <c r="S29" s="133">
        <f t="shared" si="13"/>
        <v>-352.1327682321319</v>
      </c>
      <c r="T29" s="133">
        <f t="shared" si="13"/>
        <v>-247.78585635787138</v>
      </c>
      <c r="U29" s="133">
        <f t="shared" si="13"/>
        <v>-180.5110497128478</v>
      </c>
      <c r="X29">
        <v>100000</v>
      </c>
    </row>
    <row r="30" spans="14:21" ht="12.75">
      <c r="N30" s="139" t="s">
        <v>478</v>
      </c>
      <c r="O30" s="148"/>
      <c r="P30" s="149">
        <f aca="true" t="shared" si="14" ref="P30:U30">P29/$O$28</f>
        <v>-0.3075790803011391</v>
      </c>
      <c r="Q30" s="149">
        <f t="shared" si="14"/>
        <v>-0.24531958634274992</v>
      </c>
      <c r="R30" s="149">
        <f t="shared" si="14"/>
        <v>-0.20517948691254503</v>
      </c>
      <c r="S30" s="149">
        <f t="shared" si="14"/>
        <v>-0.21010308367072314</v>
      </c>
      <c r="T30" s="149">
        <f t="shared" si="14"/>
        <v>-0.14784358971233377</v>
      </c>
      <c r="U30" s="149">
        <f t="shared" si="14"/>
        <v>-0.10770349028212878</v>
      </c>
    </row>
    <row r="31" spans="14:21" ht="12.75">
      <c r="N31" s="17" t="s">
        <v>481</v>
      </c>
      <c r="O31" s="150">
        <f aca="true" t="shared" si="15" ref="O31:U31">O22*$X$29/1000</f>
        <v>898</v>
      </c>
      <c r="P31" s="150">
        <f t="shared" si="15"/>
        <v>906.9357645883368</v>
      </c>
      <c r="Q31" s="150">
        <f t="shared" si="15"/>
        <v>941.4285257200896</v>
      </c>
      <c r="R31" s="150">
        <f t="shared" si="15"/>
        <v>982.9193891688232</v>
      </c>
      <c r="S31" s="150">
        <f t="shared" si="15"/>
        <v>1070.305534940914</v>
      </c>
      <c r="T31" s="150">
        <f t="shared" si="15"/>
        <v>1104.798296072667</v>
      </c>
      <c r="U31" s="150">
        <f t="shared" si="15"/>
        <v>1146.2891595214007</v>
      </c>
    </row>
    <row r="32" spans="14:21" ht="12.75">
      <c r="N32" s="26" t="s">
        <v>477</v>
      </c>
      <c r="O32" s="132"/>
      <c r="P32" s="133">
        <f aca="true" t="shared" si="16" ref="P32:U32">P23*$X$29/1000</f>
        <v>8.935764588336781</v>
      </c>
      <c r="Q32" s="133">
        <f t="shared" si="16"/>
        <v>43.42852572008962</v>
      </c>
      <c r="R32" s="133">
        <f t="shared" si="16"/>
        <v>84.91938916882305</v>
      </c>
      <c r="S32" s="133">
        <f t="shared" si="16"/>
        <v>172.30553494091401</v>
      </c>
      <c r="T32" s="133">
        <f t="shared" si="16"/>
        <v>206.79829607266706</v>
      </c>
      <c r="U32" s="133">
        <f t="shared" si="16"/>
        <v>248.28915952140065</v>
      </c>
    </row>
    <row r="33" spans="14:21" ht="12.75">
      <c r="N33" s="26" t="s">
        <v>478</v>
      </c>
      <c r="O33" s="148"/>
      <c r="P33" s="149">
        <f aca="true" t="shared" si="17" ref="P33:U33">P32/$O$31</f>
        <v>0.009950740076098865</v>
      </c>
      <c r="Q33" s="149">
        <f t="shared" si="17"/>
        <v>0.04836138721613543</v>
      </c>
      <c r="R33" s="149">
        <f t="shared" si="17"/>
        <v>0.09456502134612811</v>
      </c>
      <c r="S33" s="149">
        <f t="shared" si="17"/>
        <v>0.19187698768475947</v>
      </c>
      <c r="T33" s="149">
        <f t="shared" si="17"/>
        <v>0.23028763482479628</v>
      </c>
      <c r="U33" s="149">
        <f t="shared" si="17"/>
        <v>0.27649126895478915</v>
      </c>
    </row>
    <row r="34" spans="14:21" ht="22.5" customHeight="1">
      <c r="N34" s="234" t="s">
        <v>491</v>
      </c>
      <c r="O34" s="234"/>
      <c r="P34" s="234"/>
      <c r="Q34" s="234"/>
      <c r="R34" s="234"/>
      <c r="S34" s="234"/>
      <c r="T34" s="234"/>
      <c r="U34" s="234"/>
    </row>
    <row r="35" spans="14:21" ht="12.75">
      <c r="N35" s="230" t="s">
        <v>483</v>
      </c>
      <c r="O35" s="231"/>
      <c r="P35" s="231"/>
      <c r="Q35" s="231"/>
      <c r="R35" s="231"/>
      <c r="S35" s="231"/>
      <c r="T35" s="231"/>
      <c r="U35" s="232"/>
    </row>
    <row r="36" spans="14:21" ht="24" customHeight="1">
      <c r="N36" s="230" t="s">
        <v>490</v>
      </c>
      <c r="O36" s="231"/>
      <c r="P36" s="231"/>
      <c r="Q36" s="231"/>
      <c r="R36" s="231"/>
      <c r="S36" s="231"/>
      <c r="T36" s="231"/>
      <c r="U36" s="232"/>
    </row>
    <row r="39" spans="22:29" ht="12.75">
      <c r="V39" s="234"/>
      <c r="W39" s="234"/>
      <c r="X39" s="234"/>
      <c r="Y39" s="234"/>
      <c r="Z39" s="234"/>
      <c r="AA39" s="234"/>
      <c r="AB39" s="234"/>
      <c r="AC39" s="234"/>
    </row>
    <row r="40" spans="22:29" ht="12.75">
      <c r="V40" s="230"/>
      <c r="W40" s="231"/>
      <c r="X40" s="231"/>
      <c r="Y40" s="231"/>
      <c r="Z40" s="231"/>
      <c r="AA40" s="231"/>
      <c r="AB40" s="231"/>
      <c r="AC40" s="232"/>
    </row>
    <row r="41" spans="22:29" ht="24" customHeight="1">
      <c r="V41" s="230"/>
      <c r="W41" s="231"/>
      <c r="X41" s="231"/>
      <c r="Y41" s="231"/>
      <c r="Z41" s="231"/>
      <c r="AA41" s="231"/>
      <c r="AB41" s="231"/>
      <c r="AC41" s="232"/>
    </row>
  </sheetData>
  <sheetProtection/>
  <mergeCells count="18">
    <mergeCell ref="A7:D7"/>
    <mergeCell ref="H3:J3"/>
    <mergeCell ref="K3:M3"/>
    <mergeCell ref="F9:M9"/>
    <mergeCell ref="F2:M2"/>
    <mergeCell ref="V39:AC39"/>
    <mergeCell ref="P26:R26"/>
    <mergeCell ref="S26:U26"/>
    <mergeCell ref="V40:AC40"/>
    <mergeCell ref="V41:AC41"/>
    <mergeCell ref="F16:M16"/>
    <mergeCell ref="P17:R17"/>
    <mergeCell ref="S17:U17"/>
    <mergeCell ref="N16:U16"/>
    <mergeCell ref="N34:U34"/>
    <mergeCell ref="N35:U35"/>
    <mergeCell ref="N36:U36"/>
    <mergeCell ref="N25:U2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8"/>
  </sheetPr>
  <dimension ref="A1:Q118"/>
  <sheetViews>
    <sheetView tabSelected="1" workbookViewId="0" topLeftCell="A67">
      <selection activeCell="A31" sqref="A31"/>
    </sheetView>
  </sheetViews>
  <sheetFormatPr defaultColWidth="9.140625" defaultRowHeight="12.75"/>
  <cols>
    <col min="1" max="1" width="36.7109375" style="0" bestFit="1" customWidth="1"/>
    <col min="3" max="5" width="9.421875" style="0" customWidth="1"/>
  </cols>
  <sheetData>
    <row r="1" spans="1:17" ht="12.75">
      <c r="A1" s="242" t="str">
        <f>Rates!F2</f>
        <v>Summary of Town and Village Tax Rates Before and After Dissolution</v>
      </c>
      <c r="B1" s="242"/>
      <c r="C1" s="242"/>
      <c r="D1" s="242"/>
      <c r="E1" s="242"/>
      <c r="F1" s="242"/>
      <c r="G1" s="242"/>
      <c r="H1" s="242"/>
      <c r="J1" s="242" t="str">
        <f>Rates!N16</f>
        <v>Summary of Changes to Town and Village Tax Rates</v>
      </c>
      <c r="K1" s="242"/>
      <c r="L1" s="242"/>
      <c r="M1" s="242"/>
      <c r="N1" s="242"/>
      <c r="O1" s="242"/>
      <c r="P1" s="242"/>
      <c r="Q1" s="242"/>
    </row>
    <row r="2" spans="1:17" ht="12.75">
      <c r="A2" s="168">
        <f>Rates!F3</f>
        <v>0</v>
      </c>
      <c r="B2" s="168">
        <f>Rates!G3</f>
        <v>0</v>
      </c>
      <c r="C2" s="218" t="str">
        <f>Rates!H3</f>
        <v>With AIM</v>
      </c>
      <c r="D2" s="218"/>
      <c r="E2" s="218"/>
      <c r="F2" s="218" t="str">
        <f>Rates!K3</f>
        <v>Without AIM</v>
      </c>
      <c r="G2" s="218"/>
      <c r="H2" s="218"/>
      <c r="J2" s="168">
        <f>Rates!N17</f>
        <v>0</v>
      </c>
      <c r="K2" s="168">
        <f>Rates!O17</f>
        <v>0</v>
      </c>
      <c r="L2" s="218" t="str">
        <f>Rates!P17</f>
        <v>With AIM</v>
      </c>
      <c r="M2" s="218"/>
      <c r="N2" s="218"/>
      <c r="O2" s="218" t="str">
        <f>Rates!S17</f>
        <v>Without AIM</v>
      </c>
      <c r="P2" s="218"/>
      <c r="Q2" s="218"/>
    </row>
    <row r="3" spans="1:17" ht="12.75">
      <c r="A3" s="168">
        <f>Rates!F4</f>
        <v>0</v>
      </c>
      <c r="B3" s="140" t="str">
        <f>Rates!G4</f>
        <v>Current</v>
      </c>
      <c r="C3" s="140" t="str">
        <f>Rates!H4</f>
        <v>One</v>
      </c>
      <c r="D3" s="140" t="str">
        <f>Rates!I4</f>
        <v>Two</v>
      </c>
      <c r="E3" s="140" t="str">
        <f>Rates!J4</f>
        <v>Three</v>
      </c>
      <c r="F3" s="140" t="str">
        <f>Rates!K4</f>
        <v>One</v>
      </c>
      <c r="G3" s="140" t="str">
        <f>Rates!L4</f>
        <v>Two</v>
      </c>
      <c r="H3" s="140" t="str">
        <f>Rates!M4</f>
        <v>Three</v>
      </c>
      <c r="J3" s="168">
        <f>Rates!N18</f>
        <v>0</v>
      </c>
      <c r="K3" s="140" t="str">
        <f>Rates!O18</f>
        <v>Current</v>
      </c>
      <c r="L3" s="140" t="str">
        <f>Rates!P18</f>
        <v>One</v>
      </c>
      <c r="M3" s="140" t="str">
        <f>Rates!Q18</f>
        <v>Two</v>
      </c>
      <c r="N3" s="140" t="str">
        <f>Rates!R18</f>
        <v>Three</v>
      </c>
      <c r="O3" s="140" t="str">
        <f>Rates!S18</f>
        <v>One</v>
      </c>
      <c r="P3" s="140" t="str">
        <f>Rates!T18</f>
        <v>Two</v>
      </c>
      <c r="Q3" s="140" t="str">
        <f>Rates!U18</f>
        <v>Three</v>
      </c>
    </row>
    <row r="4" spans="1:17" ht="12.75">
      <c r="A4" s="168" t="str">
        <f>Rates!F5</f>
        <v>Village tax</v>
      </c>
      <c r="B4" s="169">
        <f>Rates!G5</f>
        <v>9.87</v>
      </c>
      <c r="C4" s="169">
        <f>Rates!H5</f>
        <v>0</v>
      </c>
      <c r="D4" s="169">
        <f>Rates!I5</f>
        <v>0</v>
      </c>
      <c r="E4" s="169">
        <f>Rates!J5</f>
        <v>0</v>
      </c>
      <c r="F4" s="169">
        <f>Rates!K5</f>
        <v>0</v>
      </c>
      <c r="G4" s="169">
        <f>Rates!L5</f>
        <v>0</v>
      </c>
      <c r="H4" s="169">
        <f>Rates!M5</f>
        <v>0</v>
      </c>
      <c r="J4" s="168" t="str">
        <f>Rates!N19</f>
        <v>Village Resident (1)</v>
      </c>
      <c r="K4" s="175">
        <f>Rates!O19</f>
        <v>16.759999999999998</v>
      </c>
      <c r="L4" s="175">
        <f>Rates!P19</f>
        <v>11.604974614152907</v>
      </c>
      <c r="M4" s="175">
        <f>Rates!Q19</f>
        <v>12.64844373289551</v>
      </c>
      <c r="N4" s="175">
        <f>Rates!R19</f>
        <v>13.321191799345744</v>
      </c>
      <c r="O4" s="175">
        <f>Rates!S19</f>
        <v>13.23867231767868</v>
      </c>
      <c r="P4" s="175">
        <f>Rates!T19</f>
        <v>14.282141436421284</v>
      </c>
      <c r="Q4" s="175">
        <f>Rates!U19</f>
        <v>14.95488950287152</v>
      </c>
    </row>
    <row r="5" spans="1:17" ht="12.75">
      <c r="A5" s="168" t="str">
        <f>Rates!F6</f>
        <v>Town tax</v>
      </c>
      <c r="B5" s="170">
        <f>Rates!G6</f>
        <v>4.51</v>
      </c>
      <c r="C5" s="170">
        <f>Rates!H6</f>
        <v>4.342875394270825</v>
      </c>
      <c r="D5" s="170">
        <f>Rates!I6</f>
        <v>4.445654136488685</v>
      </c>
      <c r="E5" s="170">
        <f>Rates!J6</f>
        <v>4.596889557956379</v>
      </c>
      <c r="F5" s="170">
        <f>Rates!K6</f>
        <v>5.976573097796599</v>
      </c>
      <c r="G5" s="170">
        <f>Rates!L6</f>
        <v>6.079351840014459</v>
      </c>
      <c r="H5" s="170">
        <f>Rates!M6</f>
        <v>6.230587261482153</v>
      </c>
      <c r="J5" s="113" t="str">
        <f>Rates!N20</f>
        <v>Change</v>
      </c>
      <c r="K5" s="115">
        <f>Rates!O20</f>
        <v>0</v>
      </c>
      <c r="L5" s="176">
        <f>Rates!P20</f>
        <v>-5.155025385847091</v>
      </c>
      <c r="M5" s="176">
        <f>Rates!Q20</f>
        <v>-4.111556267104488</v>
      </c>
      <c r="N5" s="176">
        <f>Rates!R20</f>
        <v>-3.438808200654254</v>
      </c>
      <c r="O5" s="176">
        <f>Rates!S20</f>
        <v>-3.521327682321319</v>
      </c>
      <c r="P5" s="176">
        <f>Rates!T20</f>
        <v>-2.477858563578714</v>
      </c>
      <c r="Q5" s="176">
        <f>Rates!U20</f>
        <v>-1.805110497128478</v>
      </c>
    </row>
    <row r="6" spans="1:17" ht="12.75">
      <c r="A6" s="168" t="str">
        <f>Rates!F7</f>
        <v>Town Highway tax</v>
      </c>
      <c r="B6" s="170">
        <f>Rates!G7</f>
        <v>2.38</v>
      </c>
      <c r="C6" s="170">
        <f>Rates!H7</f>
        <v>4.726482251612542</v>
      </c>
      <c r="D6" s="170">
        <f>Rates!I7</f>
        <v>4.968631120712212</v>
      </c>
      <c r="E6" s="170">
        <f>Rates!J7</f>
        <v>5.232304333731853</v>
      </c>
      <c r="F6" s="170">
        <f>Rates!K7</f>
        <v>4.726482251612542</v>
      </c>
      <c r="G6" s="170">
        <f>Rates!L7</f>
        <v>4.968631120712212</v>
      </c>
      <c r="H6" s="170">
        <f>Rates!M7</f>
        <v>5.232304333731853</v>
      </c>
      <c r="J6" s="177" t="str">
        <f>Rates!N21</f>
        <v>% Change</v>
      </c>
      <c r="K6" s="178">
        <f>Rates!O21</f>
        <v>0</v>
      </c>
      <c r="L6" s="179">
        <f>Rates!P21</f>
        <v>-0.3075790803011391</v>
      </c>
      <c r="M6" s="179">
        <f>Rates!Q21</f>
        <v>-0.24531958634274992</v>
      </c>
      <c r="N6" s="179">
        <f>Rates!R21</f>
        <v>-0.205179486912545</v>
      </c>
      <c r="O6" s="179">
        <f>Rates!S21</f>
        <v>-0.2101030836707231</v>
      </c>
      <c r="P6" s="179">
        <f>Rates!T21</f>
        <v>-0.14784358971233377</v>
      </c>
      <c r="Q6" s="179">
        <f>Rates!U21</f>
        <v>-0.10770349028212876</v>
      </c>
    </row>
    <row r="7" spans="1:17" ht="12.75">
      <c r="A7" s="168" t="str">
        <f>Rates!F8</f>
        <v>Town TOV tax (hwy. &amp; general)</v>
      </c>
      <c r="B7" s="171">
        <f>Rates!G8</f>
        <v>2.09</v>
      </c>
      <c r="C7" s="171">
        <f>Rates!H8</f>
        <v>0</v>
      </c>
      <c r="D7" s="171">
        <f>Rates!I8</f>
        <v>0</v>
      </c>
      <c r="E7" s="171">
        <f>Rates!J8</f>
        <v>0</v>
      </c>
      <c r="F7" s="171">
        <f>Rates!K8</f>
        <v>0</v>
      </c>
      <c r="G7" s="171">
        <f>Rates!L8</f>
        <v>0</v>
      </c>
      <c r="H7" s="171">
        <f>Rates!M8</f>
        <v>0</v>
      </c>
      <c r="J7" s="168" t="str">
        <f>Rates!N22</f>
        <v>TOV Resident (2) </v>
      </c>
      <c r="K7" s="175">
        <f>Rates!O22</f>
        <v>8.98</v>
      </c>
      <c r="L7" s="175">
        <f>Rates!P22</f>
        <v>9.069357645883368</v>
      </c>
      <c r="M7" s="175">
        <f>Rates!Q22</f>
        <v>9.414285257200897</v>
      </c>
      <c r="N7" s="175">
        <f>Rates!R22</f>
        <v>9.82919389168823</v>
      </c>
      <c r="O7" s="175">
        <f>Rates!S22</f>
        <v>10.70305534940914</v>
      </c>
      <c r="P7" s="175">
        <f>Rates!T22</f>
        <v>11.04798296072667</v>
      </c>
      <c r="Q7" s="175">
        <f>Rates!U22</f>
        <v>11.462891595214007</v>
      </c>
    </row>
    <row r="8" spans="1:17" ht="12.75">
      <c r="A8" s="168" t="str">
        <f>Rates!F10</f>
        <v>Refuse/Recycling Collection District tax</v>
      </c>
      <c r="B8" s="169">
        <f>Rates!G10</f>
        <v>0</v>
      </c>
      <c r="C8" s="169">
        <f>Rates!H10</f>
        <v>0</v>
      </c>
      <c r="D8" s="169">
        <f>Rates!I10</f>
        <v>0.5654859822012511</v>
      </c>
      <c r="E8" s="169">
        <f>Rates!J10</f>
        <v>0.5654859822012511</v>
      </c>
      <c r="F8" s="169">
        <f>Rates!K10</f>
        <v>0</v>
      </c>
      <c r="G8" s="169">
        <f>Rates!L10</f>
        <v>0.5654859822012511</v>
      </c>
      <c r="H8" s="169">
        <f>Rates!M10</f>
        <v>0.5654859822012511</v>
      </c>
      <c r="J8" s="113" t="str">
        <f>Rates!N23</f>
        <v>Change</v>
      </c>
      <c r="K8" s="115">
        <f>Rates!O23</f>
        <v>0</v>
      </c>
      <c r="L8" s="176">
        <f>Rates!P23</f>
        <v>0.08935764588336781</v>
      </c>
      <c r="M8" s="176">
        <f>Rates!Q23</f>
        <v>0.43428525720089617</v>
      </c>
      <c r="N8" s="176">
        <f>Rates!R23</f>
        <v>0.8491938916882305</v>
      </c>
      <c r="O8" s="176">
        <f>Rates!S23</f>
        <v>1.7230553494091403</v>
      </c>
      <c r="P8" s="176">
        <f>Rates!T23</f>
        <v>2.0679829607266704</v>
      </c>
      <c r="Q8" s="176">
        <f>Rates!U23</f>
        <v>2.4828915952140065</v>
      </c>
    </row>
    <row r="9" spans="1:17" ht="12.75">
      <c r="A9" s="168" t="str">
        <f>Rates!F11</f>
        <v>Lighting District tax</v>
      </c>
      <c r="B9" s="170">
        <f>Rates!G11</f>
        <v>0</v>
      </c>
      <c r="C9" s="170">
        <f>Rates!H11</f>
        <v>0.6431017052484816</v>
      </c>
      <c r="D9" s="170">
        <f>Rates!I11</f>
        <v>0.6431017052484816</v>
      </c>
      <c r="E9" s="170">
        <f>Rates!J11</f>
        <v>0</v>
      </c>
      <c r="F9" s="170">
        <f>Rates!K11</f>
        <v>0.6431017052484816</v>
      </c>
      <c r="G9" s="170">
        <f>Rates!L11</f>
        <v>0.6431017052484816</v>
      </c>
      <c r="H9" s="170">
        <f>Rates!M11</f>
        <v>0</v>
      </c>
      <c r="J9" s="113" t="str">
        <f>Rates!N24</f>
        <v>% Change</v>
      </c>
      <c r="K9" s="178">
        <f>Rates!O24</f>
        <v>0</v>
      </c>
      <c r="L9" s="179">
        <f>Rates!P24</f>
        <v>0.009950740076098865</v>
      </c>
      <c r="M9" s="179">
        <f>Rates!Q24</f>
        <v>0.04836138721613543</v>
      </c>
      <c r="N9" s="179">
        <f>Rates!R24</f>
        <v>0.09456502134612811</v>
      </c>
      <c r="O9" s="179">
        <f>Rates!S24</f>
        <v>0.1918769876847595</v>
      </c>
      <c r="P9" s="179">
        <f>Rates!T24</f>
        <v>0.23028763482479625</v>
      </c>
      <c r="Q9" s="179">
        <f>Rates!U24</f>
        <v>0.27649126895478915</v>
      </c>
    </row>
    <row r="10" spans="1:17" ht="12.75">
      <c r="A10" s="168" t="str">
        <f>Rates!F12</f>
        <v>Sidewalks Snow Removal District tax</v>
      </c>
      <c r="B10" s="170">
        <f>Rates!G12</f>
        <v>0</v>
      </c>
      <c r="C10" s="170">
        <f>Rates!H12</f>
        <v>0</v>
      </c>
      <c r="D10" s="170">
        <f>Rates!I12</f>
        <v>0.13305552522382377</v>
      </c>
      <c r="E10" s="170">
        <f>Rates!J12</f>
        <v>0.13305552522382377</v>
      </c>
      <c r="F10" s="170">
        <f>Rates!K12</f>
        <v>0</v>
      </c>
      <c r="G10" s="170">
        <f>Rates!L12</f>
        <v>0.13305552522382377</v>
      </c>
      <c r="H10" s="170">
        <f>Rates!M12</f>
        <v>0.13305552522382377</v>
      </c>
      <c r="J10" s="235" t="str">
        <f>Rates!N25</f>
        <v>Town and Village Taxes for House Assessed at $100,000</v>
      </c>
      <c r="K10" s="235"/>
      <c r="L10" s="235"/>
      <c r="M10" s="235"/>
      <c r="N10" s="235"/>
      <c r="O10" s="235"/>
      <c r="P10" s="235"/>
      <c r="Q10" s="235"/>
    </row>
    <row r="11" spans="1:17" ht="12.75">
      <c r="A11" s="168" t="str">
        <f>Rates!F13</f>
        <v>Debt Service District tax</v>
      </c>
      <c r="B11" s="170">
        <f>Rates!G13</f>
        <v>0</v>
      </c>
      <c r="C11" s="170">
        <f>Rates!H13</f>
        <v>0</v>
      </c>
      <c r="D11" s="170">
        <f>Rates!I13</f>
        <v>0</v>
      </c>
      <c r="E11" s="170">
        <f>Rates!J13</f>
        <v>0.9009411372113815</v>
      </c>
      <c r="F11" s="170">
        <f>Rates!K13</f>
        <v>0</v>
      </c>
      <c r="G11" s="170">
        <f>Rates!L13</f>
        <v>0</v>
      </c>
      <c r="H11" s="170">
        <f>Rates!M13</f>
        <v>0.9009411372113815</v>
      </c>
      <c r="J11" s="168">
        <f>Rates!N26</f>
        <v>0</v>
      </c>
      <c r="K11" s="168">
        <f>Rates!O26</f>
        <v>0</v>
      </c>
      <c r="L11" s="218" t="str">
        <f>Rates!P26</f>
        <v>With AIM</v>
      </c>
      <c r="M11" s="218"/>
      <c r="N11" s="218"/>
      <c r="O11" s="218" t="str">
        <f>Rates!S26</f>
        <v>Without AIM</v>
      </c>
      <c r="P11" s="218"/>
      <c r="Q11" s="218"/>
    </row>
    <row r="12" spans="1:17" ht="15">
      <c r="A12" s="168" t="str">
        <f>Rates!F14</f>
        <v>Fire District/ Fire Protection District tax</v>
      </c>
      <c r="B12" s="170">
        <f>Rates!G14</f>
        <v>0</v>
      </c>
      <c r="C12" s="172">
        <f>Rates!H14</f>
        <v>1.8925152630210575</v>
      </c>
      <c r="D12" s="172">
        <f>Rates!I14</f>
        <v>1.8925152630210575</v>
      </c>
      <c r="E12" s="172">
        <f>Rates!J14</f>
        <v>1.8925152630210575</v>
      </c>
      <c r="F12" s="172">
        <f>Rates!K14</f>
        <v>1.8925152630210575</v>
      </c>
      <c r="G12" s="172">
        <f>Rates!L14</f>
        <v>1.8925152630210575</v>
      </c>
      <c r="H12" s="172">
        <f>Rates!M14</f>
        <v>1.8925152630210575</v>
      </c>
      <c r="J12" s="168">
        <f>Rates!N27</f>
        <v>0</v>
      </c>
      <c r="K12" s="140" t="str">
        <f>Rates!O27</f>
        <v>Current</v>
      </c>
      <c r="L12" s="140" t="str">
        <f>Rates!P27</f>
        <v>One</v>
      </c>
      <c r="M12" s="140" t="str">
        <f>Rates!Q27</f>
        <v>Two</v>
      </c>
      <c r="N12" s="140" t="str">
        <f>Rates!R27</f>
        <v>Three</v>
      </c>
      <c r="O12" s="140" t="str">
        <f>Rates!S27</f>
        <v>One</v>
      </c>
      <c r="P12" s="140" t="str">
        <f>Rates!T27</f>
        <v>Two</v>
      </c>
      <c r="Q12" s="140" t="str">
        <f>Rates!U27</f>
        <v>Three</v>
      </c>
    </row>
    <row r="13" spans="1:17" ht="12.75">
      <c r="A13" s="168" t="str">
        <f>Rates!F15</f>
        <v>Total Special District Rates</v>
      </c>
      <c r="B13" s="171">
        <f>Rates!G15</f>
        <v>0</v>
      </c>
      <c r="C13" s="171">
        <f>Rates!H15</f>
        <v>2.5356169682695393</v>
      </c>
      <c r="D13" s="171">
        <f>Rates!I15</f>
        <v>3.2341584756946142</v>
      </c>
      <c r="E13" s="171">
        <f>Rates!J15</f>
        <v>3.491997907657514</v>
      </c>
      <c r="F13" s="171">
        <f>Rates!K15</f>
        <v>2.5356169682695393</v>
      </c>
      <c r="G13" s="171">
        <f>Rates!L15</f>
        <v>3.2341584756946142</v>
      </c>
      <c r="H13" s="171">
        <f>Rates!M15</f>
        <v>3.491997907657514</v>
      </c>
      <c r="J13" s="168" t="str">
        <f>Rates!N28</f>
        <v>Village Resident (1)</v>
      </c>
      <c r="K13" s="180">
        <f>Rates!O28</f>
        <v>1675.9999999999998</v>
      </c>
      <c r="L13" s="180">
        <f>Rates!P28</f>
        <v>1160.4974614152907</v>
      </c>
      <c r="M13" s="180">
        <f>Rates!Q28</f>
        <v>1264.844373289551</v>
      </c>
      <c r="N13" s="180">
        <f>Rates!R28</f>
        <v>1332.1191799345743</v>
      </c>
      <c r="O13" s="180">
        <f>Rates!S28</f>
        <v>1323.867231767868</v>
      </c>
      <c r="P13" s="180">
        <f>Rates!T28</f>
        <v>1428.2141436421284</v>
      </c>
      <c r="Q13" s="180">
        <f>Rates!U28</f>
        <v>1495.4889502871522</v>
      </c>
    </row>
    <row r="14" spans="1:17" ht="12.75">
      <c r="A14" s="218" t="str">
        <f>Rates!F16</f>
        <v>Comparison of Current to Future Town and Village Rates</v>
      </c>
      <c r="B14" s="218"/>
      <c r="C14" s="218"/>
      <c r="D14" s="218"/>
      <c r="E14" s="218"/>
      <c r="F14" s="218"/>
      <c r="G14" s="218"/>
      <c r="H14" s="218"/>
      <c r="J14" s="113" t="str">
        <f>Rates!N29</f>
        <v>Change</v>
      </c>
      <c r="K14" s="115">
        <f>Rates!O29</f>
        <v>0</v>
      </c>
      <c r="L14" s="181">
        <f>Rates!P29</f>
        <v>-515.5025385847091</v>
      </c>
      <c r="M14" s="181">
        <f>Rates!Q29</f>
        <v>-411.1556267104488</v>
      </c>
      <c r="N14" s="181">
        <f>Rates!R29</f>
        <v>-343.88082006542544</v>
      </c>
      <c r="O14" s="181">
        <f>Rates!S29</f>
        <v>-352.1327682321319</v>
      </c>
      <c r="P14" s="181">
        <f>Rates!T29</f>
        <v>-247.78585635787138</v>
      </c>
      <c r="Q14" s="181">
        <f>Rates!U29</f>
        <v>-180.5110497128478</v>
      </c>
    </row>
    <row r="15" spans="1:17" ht="12.75">
      <c r="A15" s="168" t="str">
        <f>Rates!F17</f>
        <v>Village Residents</v>
      </c>
      <c r="B15" s="169">
        <f>Rates!G17</f>
        <v>16.759999999999998</v>
      </c>
      <c r="C15" s="169">
        <f>Rates!H17</f>
        <v>11.604974614152908</v>
      </c>
      <c r="D15" s="169">
        <f>Rates!I17</f>
        <v>12.648443732895512</v>
      </c>
      <c r="E15" s="169">
        <f>Rates!J17</f>
        <v>13.321191799345744</v>
      </c>
      <c r="F15" s="169">
        <f>Rates!K17</f>
        <v>13.238672317678681</v>
      </c>
      <c r="G15" s="169">
        <f>Rates!L17</f>
        <v>14.282141436421284</v>
      </c>
      <c r="H15" s="169">
        <f>Rates!M17</f>
        <v>14.95488950287152</v>
      </c>
      <c r="J15" s="168" t="str">
        <f>Rates!N31</f>
        <v>TOV Resident (2) </v>
      </c>
      <c r="K15" s="180">
        <f>Rates!O31</f>
        <v>898</v>
      </c>
      <c r="L15" s="180">
        <f>Rates!P31</f>
        <v>906.9357645883368</v>
      </c>
      <c r="M15" s="180">
        <f>Rates!Q31</f>
        <v>941.4285257200896</v>
      </c>
      <c r="N15" s="180">
        <f>Rates!R31</f>
        <v>982.9193891688232</v>
      </c>
      <c r="O15" s="180">
        <f>Rates!S31</f>
        <v>1070.305534940914</v>
      </c>
      <c r="P15" s="180">
        <f>Rates!T31</f>
        <v>1104.798296072667</v>
      </c>
      <c r="Q15" s="180">
        <f>Rates!U31</f>
        <v>1146.2891595214007</v>
      </c>
    </row>
    <row r="16" spans="1:17" ht="12.75">
      <c r="A16" s="168" t="str">
        <f>Rates!F18</f>
        <v>TOV Residents</v>
      </c>
      <c r="B16" s="171">
        <f>Rates!G18</f>
        <v>8.98</v>
      </c>
      <c r="C16" s="171">
        <f>Rates!H18</f>
        <v>9.069357645883368</v>
      </c>
      <c r="D16" s="171">
        <f>Rates!I18</f>
        <v>9.414285257200897</v>
      </c>
      <c r="E16" s="171">
        <f>Rates!J18</f>
        <v>9.82919389168823</v>
      </c>
      <c r="F16" s="171">
        <f>Rates!K18</f>
        <v>10.70305534940914</v>
      </c>
      <c r="G16" s="171">
        <f>Rates!L18</f>
        <v>11.04798296072667</v>
      </c>
      <c r="H16" s="171">
        <f>Rates!M18</f>
        <v>11.462891595214007</v>
      </c>
      <c r="J16" s="113" t="str">
        <f>Rates!N32</f>
        <v>Change</v>
      </c>
      <c r="K16" s="115">
        <f>Rates!O32</f>
        <v>0</v>
      </c>
      <c r="L16" s="181">
        <f>Rates!P32</f>
        <v>8.935764588336781</v>
      </c>
      <c r="M16" s="181">
        <f>Rates!Q32</f>
        <v>43.42852572008962</v>
      </c>
      <c r="N16" s="181">
        <f>Rates!R32</f>
        <v>84.91938916882305</v>
      </c>
      <c r="O16" s="181">
        <f>Rates!S32</f>
        <v>172.30553494091401</v>
      </c>
      <c r="P16" s="181">
        <f>Rates!T32</f>
        <v>206.79829607266706</v>
      </c>
      <c r="Q16" s="181">
        <f>Rates!U32</f>
        <v>248.28915952140065</v>
      </c>
    </row>
    <row r="17" ht="13.5" thickBot="1">
      <c r="A17" s="174">
        <f>Rates!X29</f>
        <v>100000</v>
      </c>
    </row>
    <row r="18" spans="3:8" ht="13.5" thickBot="1">
      <c r="C18" s="222" t="s">
        <v>520</v>
      </c>
      <c r="D18" s="223"/>
      <c r="E18" s="223"/>
      <c r="F18" s="223"/>
      <c r="G18" s="223"/>
      <c r="H18" s="224"/>
    </row>
    <row r="19" spans="3:8" ht="12.75" customHeight="1">
      <c r="C19" s="236" t="s">
        <v>471</v>
      </c>
      <c r="D19" s="237"/>
      <c r="E19" s="238"/>
      <c r="F19" s="236" t="s">
        <v>526</v>
      </c>
      <c r="G19" s="237"/>
      <c r="H19" s="238"/>
    </row>
    <row r="20" spans="1:8" ht="25.5" customHeight="1">
      <c r="A20" t="s">
        <v>458</v>
      </c>
      <c r="C20" s="184" t="s">
        <v>466</v>
      </c>
      <c r="D20" s="137" t="s">
        <v>467</v>
      </c>
      <c r="E20" s="185" t="s">
        <v>468</v>
      </c>
      <c r="F20" s="184" t="s">
        <v>466</v>
      </c>
      <c r="G20" s="137" t="s">
        <v>467</v>
      </c>
      <c r="H20" s="185" t="s">
        <v>468</v>
      </c>
    </row>
    <row r="21" spans="1:8" ht="12.75" customHeight="1">
      <c r="A21" t="str">
        <f aca="true" t="shared" si="0" ref="A21:A29">A4</f>
        <v>Village tax</v>
      </c>
      <c r="C21" s="186">
        <f>B4</f>
        <v>9.87</v>
      </c>
      <c r="D21" s="183">
        <f>E21-C21</f>
        <v>-9.87</v>
      </c>
      <c r="E21" s="187">
        <f>C4</f>
        <v>0</v>
      </c>
      <c r="F21" s="186">
        <v>0</v>
      </c>
      <c r="G21" s="183">
        <f>H21-F21</f>
        <v>0</v>
      </c>
      <c r="H21" s="187">
        <f>C4</f>
        <v>0</v>
      </c>
    </row>
    <row r="22" spans="1:8" ht="12.75">
      <c r="A22" t="str">
        <f t="shared" si="0"/>
        <v>Town tax</v>
      </c>
      <c r="C22" s="188">
        <f aca="true" t="shared" si="1" ref="C22:C29">B5</f>
        <v>4.51</v>
      </c>
      <c r="D22" s="173">
        <f aca="true" t="shared" si="2" ref="D22:D29">E22-C22</f>
        <v>-0.16712460572917465</v>
      </c>
      <c r="E22" s="189">
        <f aca="true" t="shared" si="3" ref="E22:E29">C5</f>
        <v>4.342875394270825</v>
      </c>
      <c r="F22" s="188">
        <f>B5</f>
        <v>4.51</v>
      </c>
      <c r="G22" s="173">
        <f>H22-F22</f>
        <v>-0.16712460572917465</v>
      </c>
      <c r="H22" s="189">
        <f>C5</f>
        <v>4.342875394270825</v>
      </c>
    </row>
    <row r="23" spans="1:8" ht="12.75">
      <c r="A23" t="str">
        <f t="shared" si="0"/>
        <v>Town Highway tax</v>
      </c>
      <c r="C23" s="188">
        <f t="shared" si="1"/>
        <v>2.38</v>
      </c>
      <c r="D23" s="173">
        <f t="shared" si="2"/>
        <v>2.3464822516125423</v>
      </c>
      <c r="E23" s="189">
        <f t="shared" si="3"/>
        <v>4.726482251612542</v>
      </c>
      <c r="F23" s="188">
        <f>B6</f>
        <v>2.38</v>
      </c>
      <c r="G23" s="173">
        <f>H23-F23</f>
        <v>2.3464822516125423</v>
      </c>
      <c r="H23" s="189">
        <f>C6</f>
        <v>4.726482251612542</v>
      </c>
    </row>
    <row r="24" spans="1:8" ht="12.75">
      <c r="A24" t="str">
        <f t="shared" si="0"/>
        <v>Town TOV tax (hwy. &amp; general)</v>
      </c>
      <c r="C24" s="188">
        <v>0</v>
      </c>
      <c r="D24" s="173">
        <f t="shared" si="2"/>
        <v>0</v>
      </c>
      <c r="E24" s="189">
        <f t="shared" si="3"/>
        <v>0</v>
      </c>
      <c r="F24" s="188">
        <f>B7</f>
        <v>2.09</v>
      </c>
      <c r="G24" s="173">
        <f>H24-F24</f>
        <v>-2.09</v>
      </c>
      <c r="H24" s="189">
        <f>C7</f>
        <v>0</v>
      </c>
    </row>
    <row r="25" spans="1:8" ht="12.75">
      <c r="A25" t="str">
        <f t="shared" si="0"/>
        <v>Refuse/Recycling Collection District tax</v>
      </c>
      <c r="C25" s="188">
        <f t="shared" si="1"/>
        <v>0</v>
      </c>
      <c r="D25" s="173">
        <f t="shared" si="2"/>
        <v>0</v>
      </c>
      <c r="E25" s="189">
        <f t="shared" si="3"/>
        <v>0</v>
      </c>
      <c r="F25" s="188">
        <v>0</v>
      </c>
      <c r="G25" s="173">
        <v>0</v>
      </c>
      <c r="H25" s="189">
        <v>0</v>
      </c>
    </row>
    <row r="26" spans="1:8" ht="12.75">
      <c r="A26" t="str">
        <f t="shared" si="0"/>
        <v>Lighting District tax</v>
      </c>
      <c r="C26" s="188">
        <f t="shared" si="1"/>
        <v>0</v>
      </c>
      <c r="D26" s="173">
        <f t="shared" si="2"/>
        <v>0.6431017052484816</v>
      </c>
      <c r="E26" s="189">
        <f t="shared" si="3"/>
        <v>0.6431017052484816</v>
      </c>
      <c r="F26" s="188">
        <v>0</v>
      </c>
      <c r="G26" s="173">
        <v>0</v>
      </c>
      <c r="H26" s="189">
        <v>0</v>
      </c>
    </row>
    <row r="27" spans="1:8" ht="12.75">
      <c r="A27" t="s">
        <v>532</v>
      </c>
      <c r="C27" s="188">
        <f t="shared" si="1"/>
        <v>0</v>
      </c>
      <c r="D27" s="173">
        <f t="shared" si="2"/>
        <v>0</v>
      </c>
      <c r="E27" s="189">
        <f t="shared" si="3"/>
        <v>0</v>
      </c>
      <c r="F27" s="188">
        <v>0</v>
      </c>
      <c r="G27" s="173">
        <v>0</v>
      </c>
      <c r="H27" s="189">
        <v>0</v>
      </c>
    </row>
    <row r="28" spans="1:8" ht="12.75">
      <c r="A28" t="str">
        <f t="shared" si="0"/>
        <v>Debt Service District tax</v>
      </c>
      <c r="C28" s="188">
        <f t="shared" si="1"/>
        <v>0</v>
      </c>
      <c r="D28" s="173">
        <f t="shared" si="2"/>
        <v>0</v>
      </c>
      <c r="E28" s="189">
        <f t="shared" si="3"/>
        <v>0</v>
      </c>
      <c r="F28" s="188">
        <v>0</v>
      </c>
      <c r="G28" s="173">
        <v>0</v>
      </c>
      <c r="H28" s="189">
        <v>0</v>
      </c>
    </row>
    <row r="29" spans="1:8" ht="13.5" thickBot="1">
      <c r="A29" t="str">
        <f t="shared" si="0"/>
        <v>Fire District/ Fire Protection District tax</v>
      </c>
      <c r="C29" s="190">
        <f t="shared" si="1"/>
        <v>0</v>
      </c>
      <c r="D29" s="182">
        <f t="shared" si="2"/>
        <v>1.8925152630210575</v>
      </c>
      <c r="E29" s="191">
        <f t="shared" si="3"/>
        <v>1.8925152630210575</v>
      </c>
      <c r="F29" s="190">
        <v>0</v>
      </c>
      <c r="G29" s="182">
        <v>0</v>
      </c>
      <c r="H29" s="191">
        <v>0</v>
      </c>
    </row>
    <row r="30" spans="1:8" ht="13.5" thickTop="1">
      <c r="A30" t="s">
        <v>533</v>
      </c>
      <c r="C30" s="188">
        <f aca="true" t="shared" si="4" ref="C30:H30">SUM(C21:C29)</f>
        <v>16.759999999999998</v>
      </c>
      <c r="D30" s="173">
        <f t="shared" si="4"/>
        <v>-5.155025385847092</v>
      </c>
      <c r="E30" s="189">
        <f t="shared" si="4"/>
        <v>11.604974614152907</v>
      </c>
      <c r="F30" s="188">
        <f t="shared" si="4"/>
        <v>8.98</v>
      </c>
      <c r="G30" s="173">
        <f t="shared" si="4"/>
        <v>0.08935764588336781</v>
      </c>
      <c r="H30" s="189">
        <f t="shared" si="4"/>
        <v>9.069357645883368</v>
      </c>
    </row>
    <row r="31" spans="1:8" ht="12.75">
      <c r="A31" s="200" t="s">
        <v>534</v>
      </c>
      <c r="C31" s="192"/>
      <c r="D31" s="138"/>
      <c r="E31" s="193"/>
      <c r="F31" s="192"/>
      <c r="G31" s="138"/>
      <c r="H31" s="193"/>
    </row>
    <row r="32" spans="1:8" ht="12.75">
      <c r="A32" t="s">
        <v>469</v>
      </c>
      <c r="C32" s="194">
        <f>$A$17*C30/1000</f>
        <v>1675.9999999999998</v>
      </c>
      <c r="D32" s="136">
        <f>E32-C32</f>
        <v>-515.5025385847091</v>
      </c>
      <c r="E32" s="195">
        <f>$A$17*E30/1000</f>
        <v>1160.4974614152907</v>
      </c>
      <c r="F32" s="194">
        <f>$A$17*F30/1000</f>
        <v>898</v>
      </c>
      <c r="G32" s="136">
        <f>H32-F32</f>
        <v>8.935764588336838</v>
      </c>
      <c r="H32" s="195">
        <f>$A$17*H30/1000</f>
        <v>906.9357645883368</v>
      </c>
    </row>
    <row r="33" spans="1:8" ht="13.5" thickBot="1">
      <c r="A33" t="s">
        <v>470</v>
      </c>
      <c r="C33" s="239">
        <f>D32/C32</f>
        <v>-0.3075790803011391</v>
      </c>
      <c r="D33" s="240"/>
      <c r="E33" s="241"/>
      <c r="F33" s="239">
        <f>G32/F32</f>
        <v>0.009950740076098929</v>
      </c>
      <c r="G33" s="240"/>
      <c r="H33" s="241"/>
    </row>
    <row r="34" ht="13.5" thickBot="1"/>
    <row r="35" spans="3:8" ht="13.5" thickBot="1">
      <c r="C35" s="222" t="s">
        <v>521</v>
      </c>
      <c r="D35" s="223"/>
      <c r="E35" s="223"/>
      <c r="F35" s="223"/>
      <c r="G35" s="223"/>
      <c r="H35" s="224"/>
    </row>
    <row r="36" spans="3:8" ht="12.75">
      <c r="C36" s="236" t="s">
        <v>471</v>
      </c>
      <c r="D36" s="237"/>
      <c r="E36" s="238"/>
      <c r="F36" s="236" t="s">
        <v>526</v>
      </c>
      <c r="G36" s="237"/>
      <c r="H36" s="238"/>
    </row>
    <row r="37" spans="1:8" ht="25.5">
      <c r="A37" t="str">
        <f>A20</f>
        <v>Per $1000 of assessed value</v>
      </c>
      <c r="C37" s="184" t="s">
        <v>466</v>
      </c>
      <c r="D37" s="137" t="s">
        <v>467</v>
      </c>
      <c r="E37" s="185" t="s">
        <v>468</v>
      </c>
      <c r="F37" s="184" t="s">
        <v>466</v>
      </c>
      <c r="G37" s="137" t="s">
        <v>467</v>
      </c>
      <c r="H37" s="185" t="s">
        <v>468</v>
      </c>
    </row>
    <row r="38" spans="1:8" ht="12.75">
      <c r="A38" t="str">
        <f aca="true" t="shared" si="5" ref="A38:A50">A21</f>
        <v>Village tax</v>
      </c>
      <c r="C38" s="186">
        <f>B4</f>
        <v>9.87</v>
      </c>
      <c r="D38" s="183">
        <f>E38-C38</f>
        <v>-9.87</v>
      </c>
      <c r="E38" s="187">
        <f aca="true" t="shared" si="6" ref="E38:E46">D4</f>
        <v>0</v>
      </c>
      <c r="F38" s="186">
        <f>F21</f>
        <v>0</v>
      </c>
      <c r="G38" s="183">
        <f>H38-F38</f>
        <v>0</v>
      </c>
      <c r="H38" s="187">
        <f>D4</f>
        <v>0</v>
      </c>
    </row>
    <row r="39" spans="1:8" ht="12.75">
      <c r="A39" t="str">
        <f t="shared" si="5"/>
        <v>Town tax</v>
      </c>
      <c r="C39" s="188">
        <f>B5</f>
        <v>4.51</v>
      </c>
      <c r="D39" s="173">
        <f aca="true" t="shared" si="7" ref="D39:D46">E39-C39</f>
        <v>-0.06434586351131522</v>
      </c>
      <c r="E39" s="189">
        <f t="shared" si="6"/>
        <v>4.445654136488685</v>
      </c>
      <c r="F39" s="188">
        <f>F22</f>
        <v>4.51</v>
      </c>
      <c r="G39" s="173">
        <f>H39-F39</f>
        <v>-0.06434586351131522</v>
      </c>
      <c r="H39" s="189">
        <f>D5</f>
        <v>4.445654136488685</v>
      </c>
    </row>
    <row r="40" spans="1:8" ht="12.75">
      <c r="A40" t="str">
        <f t="shared" si="5"/>
        <v>Town Highway tax</v>
      </c>
      <c r="C40" s="188">
        <f>B6</f>
        <v>2.38</v>
      </c>
      <c r="D40" s="173">
        <f t="shared" si="7"/>
        <v>2.588631120712212</v>
      </c>
      <c r="E40" s="189">
        <f t="shared" si="6"/>
        <v>4.968631120712212</v>
      </c>
      <c r="F40" s="188">
        <f>F23</f>
        <v>2.38</v>
      </c>
      <c r="G40" s="173">
        <f>H40-F40</f>
        <v>2.588631120712212</v>
      </c>
      <c r="H40" s="189">
        <f>D6</f>
        <v>4.968631120712212</v>
      </c>
    </row>
    <row r="41" spans="1:8" ht="12.75">
      <c r="A41" t="str">
        <f t="shared" si="5"/>
        <v>Town TOV tax (hwy. &amp; general)</v>
      </c>
      <c r="C41" s="188">
        <v>0</v>
      </c>
      <c r="D41" s="173">
        <f t="shared" si="7"/>
        <v>0</v>
      </c>
      <c r="E41" s="189">
        <f t="shared" si="6"/>
        <v>0</v>
      </c>
      <c r="F41" s="188">
        <f>F24</f>
        <v>2.09</v>
      </c>
      <c r="G41" s="173">
        <f>H41-F41</f>
        <v>-2.09</v>
      </c>
      <c r="H41" s="189">
        <f>D7</f>
        <v>0</v>
      </c>
    </row>
    <row r="42" spans="1:8" ht="12.75">
      <c r="A42" t="str">
        <f t="shared" si="5"/>
        <v>Refuse/Recycling Collection District tax</v>
      </c>
      <c r="C42" s="188">
        <f>B8</f>
        <v>0</v>
      </c>
      <c r="D42" s="173">
        <f t="shared" si="7"/>
        <v>0.5654859822012511</v>
      </c>
      <c r="E42" s="189">
        <f t="shared" si="6"/>
        <v>0.5654859822012511</v>
      </c>
      <c r="F42" s="188">
        <v>0</v>
      </c>
      <c r="G42" s="173">
        <v>0</v>
      </c>
      <c r="H42" s="189">
        <v>0</v>
      </c>
    </row>
    <row r="43" spans="1:8" ht="12.75">
      <c r="A43" t="str">
        <f t="shared" si="5"/>
        <v>Lighting District tax</v>
      </c>
      <c r="C43" s="188">
        <f>B9</f>
        <v>0</v>
      </c>
      <c r="D43" s="173">
        <f t="shared" si="7"/>
        <v>0.6431017052484816</v>
      </c>
      <c r="E43" s="189">
        <f t="shared" si="6"/>
        <v>0.6431017052484816</v>
      </c>
      <c r="F43" s="188">
        <v>0</v>
      </c>
      <c r="G43" s="173">
        <v>0</v>
      </c>
      <c r="H43" s="189">
        <v>0</v>
      </c>
    </row>
    <row r="44" spans="1:8" ht="12.75">
      <c r="A44" t="str">
        <f t="shared" si="5"/>
        <v>Sidewalk Snow Removal District tax</v>
      </c>
      <c r="C44" s="188">
        <f>B10</f>
        <v>0</v>
      </c>
      <c r="D44" s="173">
        <f t="shared" si="7"/>
        <v>0.13305552522382377</v>
      </c>
      <c r="E44" s="189">
        <f t="shared" si="6"/>
        <v>0.13305552522382377</v>
      </c>
      <c r="F44" s="188">
        <v>0</v>
      </c>
      <c r="G44" s="173">
        <v>0</v>
      </c>
      <c r="H44" s="189">
        <v>0</v>
      </c>
    </row>
    <row r="45" spans="1:8" ht="12.75">
      <c r="A45" t="str">
        <f t="shared" si="5"/>
        <v>Debt Service District tax</v>
      </c>
      <c r="C45" s="188">
        <f>B11</f>
        <v>0</v>
      </c>
      <c r="D45" s="173">
        <f t="shared" si="7"/>
        <v>0</v>
      </c>
      <c r="E45" s="189">
        <f t="shared" si="6"/>
        <v>0</v>
      </c>
      <c r="F45" s="188">
        <v>0</v>
      </c>
      <c r="G45" s="173">
        <v>0</v>
      </c>
      <c r="H45" s="189">
        <v>0</v>
      </c>
    </row>
    <row r="46" spans="1:8" ht="13.5" thickBot="1">
      <c r="A46" t="str">
        <f t="shared" si="5"/>
        <v>Fire District/ Fire Protection District tax</v>
      </c>
      <c r="C46" s="190">
        <f>B12</f>
        <v>0</v>
      </c>
      <c r="D46" s="182">
        <f t="shared" si="7"/>
        <v>1.8925152630210575</v>
      </c>
      <c r="E46" s="191">
        <f t="shared" si="6"/>
        <v>1.8925152630210575</v>
      </c>
      <c r="F46" s="190">
        <v>0</v>
      </c>
      <c r="G46" s="182">
        <v>0</v>
      </c>
      <c r="H46" s="191">
        <v>0</v>
      </c>
    </row>
    <row r="47" spans="1:8" ht="13.5" thickTop="1">
      <c r="A47" t="str">
        <f t="shared" si="5"/>
        <v>Total Tax Rate*</v>
      </c>
      <c r="C47" s="188">
        <f aca="true" t="shared" si="8" ref="C47:H47">SUM(C38:C46)</f>
        <v>16.759999999999998</v>
      </c>
      <c r="D47" s="173">
        <f t="shared" si="8"/>
        <v>-4.111556267104488</v>
      </c>
      <c r="E47" s="189">
        <f t="shared" si="8"/>
        <v>12.64844373289551</v>
      </c>
      <c r="F47" s="188">
        <f t="shared" si="8"/>
        <v>8.98</v>
      </c>
      <c r="G47" s="173">
        <f t="shared" si="8"/>
        <v>0.43428525720089706</v>
      </c>
      <c r="H47" s="189">
        <f t="shared" si="8"/>
        <v>9.414285257200897</v>
      </c>
    </row>
    <row r="48" spans="1:8" ht="12.75">
      <c r="A48" s="200" t="s">
        <v>534</v>
      </c>
      <c r="C48" s="192"/>
      <c r="D48" s="138"/>
      <c r="E48" s="193"/>
      <c r="F48" s="192"/>
      <c r="G48" s="138"/>
      <c r="H48" s="193"/>
    </row>
    <row r="49" spans="1:8" ht="12.75">
      <c r="A49" t="str">
        <f t="shared" si="5"/>
        <v>Tax on Home Assessed for $100,000</v>
      </c>
      <c r="C49" s="194">
        <f>$A$17*C47/1000</f>
        <v>1675.9999999999998</v>
      </c>
      <c r="D49" s="136">
        <f>E49-C49</f>
        <v>-411.1556267104488</v>
      </c>
      <c r="E49" s="195">
        <f>$A$17*E47/1000</f>
        <v>1264.844373289551</v>
      </c>
      <c r="F49" s="194">
        <f>$A$17*F47/1000</f>
        <v>898</v>
      </c>
      <c r="G49" s="136">
        <f>H49-F49</f>
        <v>43.428525720089624</v>
      </c>
      <c r="H49" s="195">
        <f>$A$17*H47/1000</f>
        <v>941.4285257200896</v>
      </c>
    </row>
    <row r="50" spans="1:8" ht="13.5" thickBot="1">
      <c r="A50" t="str">
        <f t="shared" si="5"/>
        <v>Percentage Change in Tax</v>
      </c>
      <c r="C50" s="239">
        <f>D49/C49</f>
        <v>-0.24531958634274992</v>
      </c>
      <c r="D50" s="240"/>
      <c r="E50" s="241"/>
      <c r="F50" s="239">
        <f>G49/F49</f>
        <v>0.04836138721613544</v>
      </c>
      <c r="G50" s="240"/>
      <c r="H50" s="241"/>
    </row>
    <row r="51" ht="13.5" thickBot="1"/>
    <row r="52" spans="3:8" ht="13.5" thickBot="1">
      <c r="C52" s="222" t="s">
        <v>522</v>
      </c>
      <c r="D52" s="223"/>
      <c r="E52" s="223"/>
      <c r="F52" s="223"/>
      <c r="G52" s="223"/>
      <c r="H52" s="224"/>
    </row>
    <row r="53" spans="3:8" ht="12.75">
      <c r="C53" s="236" t="s">
        <v>471</v>
      </c>
      <c r="D53" s="237"/>
      <c r="E53" s="238"/>
      <c r="F53" s="236" t="s">
        <v>526</v>
      </c>
      <c r="G53" s="237"/>
      <c r="H53" s="238"/>
    </row>
    <row r="54" spans="1:8" ht="25.5">
      <c r="A54" t="str">
        <f>A37</f>
        <v>Per $1000 of assessed value</v>
      </c>
      <c r="C54" s="184" t="s">
        <v>466</v>
      </c>
      <c r="D54" s="137" t="s">
        <v>467</v>
      </c>
      <c r="E54" s="185" t="s">
        <v>468</v>
      </c>
      <c r="F54" s="184" t="s">
        <v>466</v>
      </c>
      <c r="G54" s="137" t="s">
        <v>467</v>
      </c>
      <c r="H54" s="185" t="s">
        <v>468</v>
      </c>
    </row>
    <row r="55" spans="1:8" ht="12.75">
      <c r="A55" t="str">
        <f aca="true" t="shared" si="9" ref="A55:A67">A38</f>
        <v>Village tax</v>
      </c>
      <c r="C55" s="186">
        <f>B4</f>
        <v>9.87</v>
      </c>
      <c r="D55" s="183">
        <f>E55-C55</f>
        <v>-9.87</v>
      </c>
      <c r="E55" s="187">
        <f aca="true" t="shared" si="10" ref="E55:E63">E4</f>
        <v>0</v>
      </c>
      <c r="F55" s="186">
        <f>F38</f>
        <v>0</v>
      </c>
      <c r="G55" s="183">
        <f>H55-F55</f>
        <v>0</v>
      </c>
      <c r="H55" s="187">
        <f>E4</f>
        <v>0</v>
      </c>
    </row>
    <row r="56" spans="1:8" ht="12.75">
      <c r="A56" t="str">
        <f t="shared" si="9"/>
        <v>Town tax</v>
      </c>
      <c r="C56" s="188">
        <f>B5</f>
        <v>4.51</v>
      </c>
      <c r="D56" s="173">
        <f aca="true" t="shared" si="11" ref="D56:D63">E56-C56</f>
        <v>0.0868895579563791</v>
      </c>
      <c r="E56" s="189">
        <f t="shared" si="10"/>
        <v>4.596889557956379</v>
      </c>
      <c r="F56" s="196">
        <f>F39</f>
        <v>4.51</v>
      </c>
      <c r="G56" s="197">
        <f>H56-F56</f>
        <v>0.0868895579563791</v>
      </c>
      <c r="H56" s="198">
        <f>E5</f>
        <v>4.596889557956379</v>
      </c>
    </row>
    <row r="57" spans="1:8" ht="12.75">
      <c r="A57" t="str">
        <f t="shared" si="9"/>
        <v>Town Highway tax</v>
      </c>
      <c r="C57" s="188">
        <f>B6</f>
        <v>2.38</v>
      </c>
      <c r="D57" s="173">
        <f t="shared" si="11"/>
        <v>2.852304333731853</v>
      </c>
      <c r="E57" s="189">
        <f t="shared" si="10"/>
        <v>5.232304333731853</v>
      </c>
      <c r="F57" s="188">
        <f>F40</f>
        <v>2.38</v>
      </c>
      <c r="G57" s="173">
        <f>H57-F57</f>
        <v>2.852304333731853</v>
      </c>
      <c r="H57" s="189">
        <f>E6</f>
        <v>5.232304333731853</v>
      </c>
    </row>
    <row r="58" spans="1:8" ht="12.75">
      <c r="A58" t="str">
        <f t="shared" si="9"/>
        <v>Town TOV tax (hwy. &amp; general)</v>
      </c>
      <c r="C58" s="188">
        <v>0</v>
      </c>
      <c r="D58" s="173">
        <f t="shared" si="11"/>
        <v>0</v>
      </c>
      <c r="E58" s="189">
        <f t="shared" si="10"/>
        <v>0</v>
      </c>
      <c r="F58" s="188">
        <f>F41</f>
        <v>2.09</v>
      </c>
      <c r="G58" s="173">
        <f>H58-F58</f>
        <v>-2.09</v>
      </c>
      <c r="H58" s="189">
        <f>E7</f>
        <v>0</v>
      </c>
    </row>
    <row r="59" spans="1:8" ht="12.75">
      <c r="A59" t="str">
        <f t="shared" si="9"/>
        <v>Refuse/Recycling Collection District tax</v>
      </c>
      <c r="C59" s="188">
        <f>B8</f>
        <v>0</v>
      </c>
      <c r="D59" s="173">
        <f t="shared" si="11"/>
        <v>0.5654859822012511</v>
      </c>
      <c r="E59" s="189">
        <f t="shared" si="10"/>
        <v>0.5654859822012511</v>
      </c>
      <c r="F59" s="188">
        <v>0</v>
      </c>
      <c r="G59" s="173">
        <v>0</v>
      </c>
      <c r="H59" s="189">
        <v>0</v>
      </c>
    </row>
    <row r="60" spans="1:8" ht="12.75">
      <c r="A60" t="str">
        <f t="shared" si="9"/>
        <v>Lighting District tax</v>
      </c>
      <c r="C60" s="188">
        <f>B9</f>
        <v>0</v>
      </c>
      <c r="D60" s="173">
        <f t="shared" si="11"/>
        <v>0</v>
      </c>
      <c r="E60" s="189">
        <f t="shared" si="10"/>
        <v>0</v>
      </c>
      <c r="F60" s="188">
        <v>0</v>
      </c>
      <c r="G60" s="173">
        <v>0</v>
      </c>
      <c r="H60" s="189">
        <v>0</v>
      </c>
    </row>
    <row r="61" spans="1:8" ht="12.75">
      <c r="A61" t="str">
        <f t="shared" si="9"/>
        <v>Sidewalk Snow Removal District tax</v>
      </c>
      <c r="C61" s="188">
        <f>B10</f>
        <v>0</v>
      </c>
      <c r="D61" s="173">
        <f t="shared" si="11"/>
        <v>0.13305552522382377</v>
      </c>
      <c r="E61" s="189">
        <f t="shared" si="10"/>
        <v>0.13305552522382377</v>
      </c>
      <c r="F61" s="188">
        <v>0</v>
      </c>
      <c r="G61" s="173">
        <v>0</v>
      </c>
      <c r="H61" s="189">
        <v>0</v>
      </c>
    </row>
    <row r="62" spans="1:8" ht="12.75">
      <c r="A62" t="str">
        <f t="shared" si="9"/>
        <v>Debt Service District tax</v>
      </c>
      <c r="C62" s="188">
        <f>B11</f>
        <v>0</v>
      </c>
      <c r="D62" s="173">
        <f t="shared" si="11"/>
        <v>0.9009411372113815</v>
      </c>
      <c r="E62" s="189">
        <f t="shared" si="10"/>
        <v>0.9009411372113815</v>
      </c>
      <c r="F62" s="188">
        <v>0</v>
      </c>
      <c r="G62" s="173">
        <v>0</v>
      </c>
      <c r="H62" s="189">
        <v>0</v>
      </c>
    </row>
    <row r="63" spans="1:8" ht="13.5" thickBot="1">
      <c r="A63" t="str">
        <f t="shared" si="9"/>
        <v>Fire District/ Fire Protection District tax</v>
      </c>
      <c r="C63" s="190">
        <f>B12</f>
        <v>0</v>
      </c>
      <c r="D63" s="182">
        <f t="shared" si="11"/>
        <v>1.8925152630210575</v>
      </c>
      <c r="E63" s="191">
        <f t="shared" si="10"/>
        <v>1.8925152630210575</v>
      </c>
      <c r="F63" s="190">
        <v>0</v>
      </c>
      <c r="G63" s="182">
        <v>0</v>
      </c>
      <c r="H63" s="191">
        <v>0</v>
      </c>
    </row>
    <row r="64" spans="1:8" ht="13.5" thickTop="1">
      <c r="A64" t="str">
        <f t="shared" si="9"/>
        <v>Total Tax Rate*</v>
      </c>
      <c r="C64" s="188">
        <f aca="true" t="shared" si="12" ref="C64:H64">SUM(C55:C63)</f>
        <v>16.759999999999998</v>
      </c>
      <c r="D64" s="173">
        <f t="shared" si="12"/>
        <v>-3.438808200654253</v>
      </c>
      <c r="E64" s="189">
        <f t="shared" si="12"/>
        <v>13.321191799345744</v>
      </c>
      <c r="F64" s="188">
        <f t="shared" si="12"/>
        <v>8.98</v>
      </c>
      <c r="G64" s="173">
        <f t="shared" si="12"/>
        <v>0.8491938916882322</v>
      </c>
      <c r="H64" s="189">
        <f t="shared" si="12"/>
        <v>9.82919389168823</v>
      </c>
    </row>
    <row r="65" spans="1:8" ht="12.75">
      <c r="A65" s="200" t="s">
        <v>534</v>
      </c>
      <c r="C65" s="192"/>
      <c r="D65" s="138"/>
      <c r="E65" s="193"/>
      <c r="F65" s="192"/>
      <c r="G65" s="138"/>
      <c r="H65" s="193"/>
    </row>
    <row r="66" spans="1:8" ht="12.75">
      <c r="A66" t="str">
        <f t="shared" si="9"/>
        <v>Tax on Home Assessed for $100,000</v>
      </c>
      <c r="C66" s="194">
        <f>$A$17*C64/1000</f>
        <v>1675.9999999999998</v>
      </c>
      <c r="D66" s="136">
        <f>E66-C66</f>
        <v>-343.8808200654255</v>
      </c>
      <c r="E66" s="195">
        <f>$A$17*E64/1000</f>
        <v>1332.1191799345743</v>
      </c>
      <c r="F66" s="194">
        <f>$A$17*F64/1000</f>
        <v>898</v>
      </c>
      <c r="G66" s="136">
        <f>H66-F66</f>
        <v>84.91938916882316</v>
      </c>
      <c r="H66" s="195">
        <f>$A$17*H64/1000</f>
        <v>982.9193891688232</v>
      </c>
    </row>
    <row r="67" spans="1:8" ht="13.5" thickBot="1">
      <c r="A67" t="str">
        <f t="shared" si="9"/>
        <v>Percentage Change in Tax</v>
      </c>
      <c r="C67" s="239">
        <f>D66/C66</f>
        <v>-0.20517948691254506</v>
      </c>
      <c r="D67" s="240"/>
      <c r="E67" s="241"/>
      <c r="F67" s="239">
        <f>G66/F66</f>
        <v>0.09456502134612824</v>
      </c>
      <c r="G67" s="240"/>
      <c r="H67" s="241"/>
    </row>
    <row r="68" ht="13.5" thickBot="1"/>
    <row r="69" spans="3:8" ht="13.5" thickBot="1">
      <c r="C69" s="222" t="s">
        <v>523</v>
      </c>
      <c r="D69" s="223"/>
      <c r="E69" s="223"/>
      <c r="F69" s="223"/>
      <c r="G69" s="223"/>
      <c r="H69" s="224"/>
    </row>
    <row r="70" spans="3:8" ht="12.75">
      <c r="C70" s="236" t="s">
        <v>471</v>
      </c>
      <c r="D70" s="237"/>
      <c r="E70" s="238"/>
      <c r="F70" s="236" t="s">
        <v>526</v>
      </c>
      <c r="G70" s="237"/>
      <c r="H70" s="238"/>
    </row>
    <row r="71" spans="1:8" ht="25.5">
      <c r="A71" t="str">
        <f>A54</f>
        <v>Per $1000 of assessed value</v>
      </c>
      <c r="C71" s="184" t="s">
        <v>466</v>
      </c>
      <c r="D71" s="137" t="s">
        <v>467</v>
      </c>
      <c r="E71" s="185" t="s">
        <v>468</v>
      </c>
      <c r="F71" s="184" t="s">
        <v>466</v>
      </c>
      <c r="G71" s="137" t="s">
        <v>467</v>
      </c>
      <c r="H71" s="185" t="s">
        <v>468</v>
      </c>
    </row>
    <row r="72" spans="1:8" ht="12.75">
      <c r="A72" t="str">
        <f aca="true" t="shared" si="13" ref="A72:A84">A55</f>
        <v>Village tax</v>
      </c>
      <c r="C72" s="186">
        <f>B4</f>
        <v>9.87</v>
      </c>
      <c r="D72" s="183">
        <f>E72-C72</f>
        <v>-9.87</v>
      </c>
      <c r="E72" s="187">
        <f aca="true" t="shared" si="14" ref="E72:E80">F4</f>
        <v>0</v>
      </c>
      <c r="F72" s="186">
        <f>F21</f>
        <v>0</v>
      </c>
      <c r="G72" s="183">
        <f>H72-F72</f>
        <v>0</v>
      </c>
      <c r="H72" s="187">
        <f>F4</f>
        <v>0</v>
      </c>
    </row>
    <row r="73" spans="1:8" ht="12.75">
      <c r="A73" t="str">
        <f t="shared" si="13"/>
        <v>Town tax</v>
      </c>
      <c r="C73" s="188">
        <f>B5</f>
        <v>4.51</v>
      </c>
      <c r="D73" s="173">
        <f aca="true" t="shared" si="15" ref="D73:D80">E73-C73</f>
        <v>1.4665730977965996</v>
      </c>
      <c r="E73" s="189">
        <f t="shared" si="14"/>
        <v>5.976573097796599</v>
      </c>
      <c r="F73" s="188">
        <f>F22</f>
        <v>4.51</v>
      </c>
      <c r="G73" s="173">
        <f>H73-F73</f>
        <v>1.4665730977965996</v>
      </c>
      <c r="H73" s="189">
        <f>F5</f>
        <v>5.976573097796599</v>
      </c>
    </row>
    <row r="74" spans="1:8" ht="12.75">
      <c r="A74" t="str">
        <f t="shared" si="13"/>
        <v>Town Highway tax</v>
      </c>
      <c r="C74" s="188">
        <f>B6</f>
        <v>2.38</v>
      </c>
      <c r="D74" s="173">
        <f t="shared" si="15"/>
        <v>2.3464822516125423</v>
      </c>
      <c r="E74" s="189">
        <f t="shared" si="14"/>
        <v>4.726482251612542</v>
      </c>
      <c r="F74" s="188">
        <f>F23</f>
        <v>2.38</v>
      </c>
      <c r="G74" s="173">
        <f>H74-F74</f>
        <v>2.3464822516125423</v>
      </c>
      <c r="H74" s="189">
        <f>F6</f>
        <v>4.726482251612542</v>
      </c>
    </row>
    <row r="75" spans="1:8" ht="12.75">
      <c r="A75" t="str">
        <f t="shared" si="13"/>
        <v>Town TOV tax (hwy. &amp; general)</v>
      </c>
      <c r="C75" s="188">
        <v>0</v>
      </c>
      <c r="D75" s="173">
        <f t="shared" si="15"/>
        <v>0</v>
      </c>
      <c r="E75" s="189">
        <f t="shared" si="14"/>
        <v>0</v>
      </c>
      <c r="F75" s="188">
        <f>F24</f>
        <v>2.09</v>
      </c>
      <c r="G75" s="173">
        <f>H75-F75</f>
        <v>-2.09</v>
      </c>
      <c r="H75" s="189">
        <f>F7</f>
        <v>0</v>
      </c>
    </row>
    <row r="76" spans="1:8" ht="12.75">
      <c r="A76" t="str">
        <f t="shared" si="13"/>
        <v>Refuse/Recycling Collection District tax</v>
      </c>
      <c r="C76" s="188">
        <f>B8</f>
        <v>0</v>
      </c>
      <c r="D76" s="173">
        <f t="shared" si="15"/>
        <v>0</v>
      </c>
      <c r="E76" s="189">
        <f t="shared" si="14"/>
        <v>0</v>
      </c>
      <c r="F76" s="188">
        <v>0</v>
      </c>
      <c r="G76" s="173">
        <v>0</v>
      </c>
      <c r="H76" s="189">
        <v>0</v>
      </c>
    </row>
    <row r="77" spans="1:8" ht="12.75">
      <c r="A77" t="str">
        <f t="shared" si="13"/>
        <v>Lighting District tax</v>
      </c>
      <c r="C77" s="188">
        <f>B9</f>
        <v>0</v>
      </c>
      <c r="D77" s="173">
        <f t="shared" si="15"/>
        <v>0.6431017052484816</v>
      </c>
      <c r="E77" s="189">
        <f t="shared" si="14"/>
        <v>0.6431017052484816</v>
      </c>
      <c r="F77" s="188">
        <v>0</v>
      </c>
      <c r="G77" s="173">
        <v>0</v>
      </c>
      <c r="H77" s="189">
        <v>0</v>
      </c>
    </row>
    <row r="78" spans="1:8" ht="12.75">
      <c r="A78" t="str">
        <f t="shared" si="13"/>
        <v>Sidewalk Snow Removal District tax</v>
      </c>
      <c r="C78" s="188">
        <f>B10</f>
        <v>0</v>
      </c>
      <c r="D78" s="173">
        <f t="shared" si="15"/>
        <v>0</v>
      </c>
      <c r="E78" s="189">
        <f t="shared" si="14"/>
        <v>0</v>
      </c>
      <c r="F78" s="188">
        <v>0</v>
      </c>
      <c r="G78" s="173">
        <v>0</v>
      </c>
      <c r="H78" s="189">
        <v>0</v>
      </c>
    </row>
    <row r="79" spans="1:8" ht="12.75">
      <c r="A79" t="str">
        <f t="shared" si="13"/>
        <v>Debt Service District tax</v>
      </c>
      <c r="C79" s="188">
        <f>B11</f>
        <v>0</v>
      </c>
      <c r="D79" s="173">
        <f t="shared" si="15"/>
        <v>0</v>
      </c>
      <c r="E79" s="189">
        <f t="shared" si="14"/>
        <v>0</v>
      </c>
      <c r="F79" s="188">
        <v>0</v>
      </c>
      <c r="G79" s="173">
        <v>0</v>
      </c>
      <c r="H79" s="189">
        <v>0</v>
      </c>
    </row>
    <row r="80" spans="1:8" ht="13.5" thickBot="1">
      <c r="A80" t="str">
        <f t="shared" si="13"/>
        <v>Fire District/ Fire Protection District tax</v>
      </c>
      <c r="C80" s="190">
        <f>B12</f>
        <v>0</v>
      </c>
      <c r="D80" s="182">
        <f t="shared" si="15"/>
        <v>1.8925152630210575</v>
      </c>
      <c r="E80" s="191">
        <f t="shared" si="14"/>
        <v>1.8925152630210575</v>
      </c>
      <c r="F80" s="190">
        <v>0</v>
      </c>
      <c r="G80" s="182">
        <v>0</v>
      </c>
      <c r="H80" s="191">
        <v>0</v>
      </c>
    </row>
    <row r="81" spans="1:8" ht="13.5" thickTop="1">
      <c r="A81" t="str">
        <f t="shared" si="13"/>
        <v>Total Tax Rate*</v>
      </c>
      <c r="C81" s="188">
        <f aca="true" t="shared" si="16" ref="C81:H81">SUM(C72:C80)</f>
        <v>16.759999999999998</v>
      </c>
      <c r="D81" s="173">
        <f t="shared" si="16"/>
        <v>-3.521327682321318</v>
      </c>
      <c r="E81" s="189">
        <f t="shared" si="16"/>
        <v>13.23867231767868</v>
      </c>
      <c r="F81" s="188">
        <f t="shared" si="16"/>
        <v>8.98</v>
      </c>
      <c r="G81" s="173">
        <f t="shared" si="16"/>
        <v>1.723055349409142</v>
      </c>
      <c r="H81" s="189">
        <f t="shared" si="16"/>
        <v>10.70305534940914</v>
      </c>
    </row>
    <row r="82" spans="1:8" ht="12.75">
      <c r="A82" s="200" t="s">
        <v>534</v>
      </c>
      <c r="C82" s="192"/>
      <c r="D82" s="138"/>
      <c r="E82" s="193"/>
      <c r="F82" s="192"/>
      <c r="G82" s="138"/>
      <c r="H82" s="193"/>
    </row>
    <row r="83" spans="1:8" ht="12.75">
      <c r="A83" t="str">
        <f t="shared" si="13"/>
        <v>Tax on Home Assessed for $100,000</v>
      </c>
      <c r="C83" s="194">
        <f>$A$17*C81/1000</f>
        <v>1675.9999999999998</v>
      </c>
      <c r="D83" s="136">
        <f>E83-C83</f>
        <v>-352.13276823213187</v>
      </c>
      <c r="E83" s="195">
        <f>$A$17*E81/1000</f>
        <v>1323.867231767868</v>
      </c>
      <c r="F83" s="194">
        <f>$A$17*F81/1000</f>
        <v>898</v>
      </c>
      <c r="G83" s="136">
        <f>H83-F83</f>
        <v>172.30553494091396</v>
      </c>
      <c r="H83" s="195">
        <f>$A$17*H81/1000</f>
        <v>1070.305534940914</v>
      </c>
    </row>
    <row r="84" spans="1:8" ht="13.5" thickBot="1">
      <c r="A84" t="str">
        <f t="shared" si="13"/>
        <v>Percentage Change in Tax</v>
      </c>
      <c r="C84" s="239">
        <f>D83/C83</f>
        <v>-0.2101030836707231</v>
      </c>
      <c r="D84" s="240"/>
      <c r="E84" s="241"/>
      <c r="F84" s="239">
        <f>G83/F83</f>
        <v>0.19187698768475941</v>
      </c>
      <c r="G84" s="240"/>
      <c r="H84" s="241"/>
    </row>
    <row r="85" ht="13.5" thickBot="1"/>
    <row r="86" spans="3:8" ht="13.5" thickBot="1">
      <c r="C86" s="222" t="s">
        <v>524</v>
      </c>
      <c r="D86" s="223"/>
      <c r="E86" s="223"/>
      <c r="F86" s="223"/>
      <c r="G86" s="223"/>
      <c r="H86" s="224"/>
    </row>
    <row r="87" spans="3:8" ht="12.75">
      <c r="C87" s="236" t="s">
        <v>471</v>
      </c>
      <c r="D87" s="237"/>
      <c r="E87" s="238"/>
      <c r="F87" s="236" t="s">
        <v>526</v>
      </c>
      <c r="G87" s="237"/>
      <c r="H87" s="238"/>
    </row>
    <row r="88" spans="1:8" ht="25.5">
      <c r="A88" t="str">
        <f>A71</f>
        <v>Per $1000 of assessed value</v>
      </c>
      <c r="C88" s="184" t="s">
        <v>466</v>
      </c>
      <c r="D88" s="137" t="s">
        <v>467</v>
      </c>
      <c r="E88" s="185" t="s">
        <v>468</v>
      </c>
      <c r="F88" s="184" t="s">
        <v>466</v>
      </c>
      <c r="G88" s="137" t="s">
        <v>467</v>
      </c>
      <c r="H88" s="185" t="s">
        <v>468</v>
      </c>
    </row>
    <row r="89" spans="1:8" ht="12.75">
      <c r="A89" t="str">
        <f aca="true" t="shared" si="17" ref="A89:A101">A72</f>
        <v>Village tax</v>
      </c>
      <c r="C89" s="186">
        <f>B4</f>
        <v>9.87</v>
      </c>
      <c r="D89" s="183">
        <f>E89-C89</f>
        <v>-9.87</v>
      </c>
      <c r="E89" s="187">
        <f aca="true" t="shared" si="18" ref="E89:E97">G4</f>
        <v>0</v>
      </c>
      <c r="F89" s="186">
        <f>F72</f>
        <v>0</v>
      </c>
      <c r="G89" s="183">
        <f>H89-F89</f>
        <v>0</v>
      </c>
      <c r="H89" s="187">
        <f>G4</f>
        <v>0</v>
      </c>
    </row>
    <row r="90" spans="1:8" ht="12.75">
      <c r="A90" t="str">
        <f t="shared" si="17"/>
        <v>Town tax</v>
      </c>
      <c r="C90" s="188">
        <f>B5</f>
        <v>4.51</v>
      </c>
      <c r="D90" s="173">
        <f aca="true" t="shared" si="19" ref="D90:D97">E90-C90</f>
        <v>1.569351840014459</v>
      </c>
      <c r="E90" s="189">
        <f t="shared" si="18"/>
        <v>6.079351840014459</v>
      </c>
      <c r="F90" s="188">
        <f>F73</f>
        <v>4.51</v>
      </c>
      <c r="G90" s="173">
        <f>H90-F90</f>
        <v>1.569351840014459</v>
      </c>
      <c r="H90" s="189">
        <f>G5</f>
        <v>6.079351840014459</v>
      </c>
    </row>
    <row r="91" spans="1:8" ht="12.75">
      <c r="A91" t="str">
        <f t="shared" si="17"/>
        <v>Town Highway tax</v>
      </c>
      <c r="C91" s="188">
        <f>B6</f>
        <v>2.38</v>
      </c>
      <c r="D91" s="173">
        <f t="shared" si="19"/>
        <v>2.588631120712212</v>
      </c>
      <c r="E91" s="189">
        <f t="shared" si="18"/>
        <v>4.968631120712212</v>
      </c>
      <c r="F91" s="188">
        <f>F74</f>
        <v>2.38</v>
      </c>
      <c r="G91" s="173">
        <f>H91-F91</f>
        <v>2.588631120712212</v>
      </c>
      <c r="H91" s="189">
        <f>G6</f>
        <v>4.968631120712212</v>
      </c>
    </row>
    <row r="92" spans="1:8" ht="12.75">
      <c r="A92" t="str">
        <f t="shared" si="17"/>
        <v>Town TOV tax (hwy. &amp; general)</v>
      </c>
      <c r="C92" s="188">
        <v>0</v>
      </c>
      <c r="D92" s="173">
        <f t="shared" si="19"/>
        <v>0</v>
      </c>
      <c r="E92" s="189">
        <f t="shared" si="18"/>
        <v>0</v>
      </c>
      <c r="F92" s="188">
        <f>F75</f>
        <v>2.09</v>
      </c>
      <c r="G92" s="173">
        <f>H92-F92</f>
        <v>-2.09</v>
      </c>
      <c r="H92" s="189">
        <f>G7</f>
        <v>0</v>
      </c>
    </row>
    <row r="93" spans="1:8" ht="12.75">
      <c r="A93" t="str">
        <f t="shared" si="17"/>
        <v>Refuse/Recycling Collection District tax</v>
      </c>
      <c r="C93" s="188">
        <f>B8</f>
        <v>0</v>
      </c>
      <c r="D93" s="173">
        <f t="shared" si="19"/>
        <v>0.5654859822012511</v>
      </c>
      <c r="E93" s="189">
        <f t="shared" si="18"/>
        <v>0.5654859822012511</v>
      </c>
      <c r="F93" s="188">
        <v>0</v>
      </c>
      <c r="G93" s="173">
        <v>0</v>
      </c>
      <c r="H93" s="189">
        <v>0</v>
      </c>
    </row>
    <row r="94" spans="1:8" ht="12.75">
      <c r="A94" t="str">
        <f t="shared" si="17"/>
        <v>Lighting District tax</v>
      </c>
      <c r="C94" s="188">
        <f>B9</f>
        <v>0</v>
      </c>
      <c r="D94" s="173">
        <f t="shared" si="19"/>
        <v>0.6431017052484816</v>
      </c>
      <c r="E94" s="189">
        <f t="shared" si="18"/>
        <v>0.6431017052484816</v>
      </c>
      <c r="F94" s="188">
        <v>0</v>
      </c>
      <c r="G94" s="173">
        <v>0</v>
      </c>
      <c r="H94" s="189">
        <v>0</v>
      </c>
    </row>
    <row r="95" spans="1:8" ht="12.75">
      <c r="A95" t="str">
        <f t="shared" si="17"/>
        <v>Sidewalk Snow Removal District tax</v>
      </c>
      <c r="C95" s="188">
        <f>B10</f>
        <v>0</v>
      </c>
      <c r="D95" s="173">
        <f t="shared" si="19"/>
        <v>0.13305552522382377</v>
      </c>
      <c r="E95" s="189">
        <f t="shared" si="18"/>
        <v>0.13305552522382377</v>
      </c>
      <c r="F95" s="188">
        <v>0</v>
      </c>
      <c r="G95" s="173">
        <v>0</v>
      </c>
      <c r="H95" s="189">
        <v>0</v>
      </c>
    </row>
    <row r="96" spans="1:8" ht="12.75">
      <c r="A96" t="str">
        <f t="shared" si="17"/>
        <v>Debt Service District tax</v>
      </c>
      <c r="C96" s="188">
        <f>B11</f>
        <v>0</v>
      </c>
      <c r="D96" s="173">
        <f t="shared" si="19"/>
        <v>0</v>
      </c>
      <c r="E96" s="189">
        <f t="shared" si="18"/>
        <v>0</v>
      </c>
      <c r="F96" s="188">
        <v>0</v>
      </c>
      <c r="G96" s="173">
        <v>0</v>
      </c>
      <c r="H96" s="189">
        <v>0</v>
      </c>
    </row>
    <row r="97" spans="1:8" ht="13.5" thickBot="1">
      <c r="A97" t="str">
        <f t="shared" si="17"/>
        <v>Fire District/ Fire Protection District tax</v>
      </c>
      <c r="C97" s="190">
        <f>B12</f>
        <v>0</v>
      </c>
      <c r="D97" s="182">
        <f t="shared" si="19"/>
        <v>1.8925152630210575</v>
      </c>
      <c r="E97" s="191">
        <f t="shared" si="18"/>
        <v>1.8925152630210575</v>
      </c>
      <c r="F97" s="190">
        <v>0</v>
      </c>
      <c r="G97" s="182">
        <v>0</v>
      </c>
      <c r="H97" s="191">
        <v>0</v>
      </c>
    </row>
    <row r="98" spans="1:8" ht="13.5" thickTop="1">
      <c r="A98" t="str">
        <f t="shared" si="17"/>
        <v>Total Tax Rate*</v>
      </c>
      <c r="C98" s="188">
        <f aca="true" t="shared" si="20" ref="C98:H98">SUM(C89:C97)</f>
        <v>16.759999999999998</v>
      </c>
      <c r="D98" s="173">
        <f t="shared" si="20"/>
        <v>-2.477858563578714</v>
      </c>
      <c r="E98" s="189">
        <f t="shared" si="20"/>
        <v>14.282141436421284</v>
      </c>
      <c r="F98" s="188">
        <f t="shared" si="20"/>
        <v>8.98</v>
      </c>
      <c r="G98" s="173">
        <f t="shared" si="20"/>
        <v>2.0679829607266713</v>
      </c>
      <c r="H98" s="189">
        <f t="shared" si="20"/>
        <v>11.04798296072667</v>
      </c>
    </row>
    <row r="99" spans="1:8" ht="12.75">
      <c r="A99" s="200" t="s">
        <v>534</v>
      </c>
      <c r="C99" s="192"/>
      <c r="D99" s="138"/>
      <c r="E99" s="193"/>
      <c r="F99" s="192"/>
      <c r="G99" s="138"/>
      <c r="H99" s="193"/>
    </row>
    <row r="100" spans="1:8" ht="12.75">
      <c r="A100" t="str">
        <f t="shared" si="17"/>
        <v>Tax on Home Assessed for $100,000</v>
      </c>
      <c r="C100" s="194">
        <f>$A$17*C98/1000</f>
        <v>1675.9999999999998</v>
      </c>
      <c r="D100" s="136">
        <f>E100-C100</f>
        <v>-247.78585635787135</v>
      </c>
      <c r="E100" s="195">
        <f>$A$17*E98/1000</f>
        <v>1428.2141436421284</v>
      </c>
      <c r="F100" s="194">
        <f>$A$17*F98/1000</f>
        <v>898</v>
      </c>
      <c r="G100" s="136">
        <f>H100-F100</f>
        <v>206.79829607266697</v>
      </c>
      <c r="H100" s="195">
        <f>$A$17*H98/1000</f>
        <v>1104.798296072667</v>
      </c>
    </row>
    <row r="101" spans="1:8" ht="13.5" thickBot="1">
      <c r="A101" t="str">
        <f t="shared" si="17"/>
        <v>Percentage Change in Tax</v>
      </c>
      <c r="C101" s="239">
        <f>D100/C100</f>
        <v>-0.14784358971233377</v>
      </c>
      <c r="D101" s="240"/>
      <c r="E101" s="241"/>
      <c r="F101" s="239">
        <f>G100/F100</f>
        <v>0.2302876348247962</v>
      </c>
      <c r="G101" s="240"/>
      <c r="H101" s="241"/>
    </row>
    <row r="102" ht="13.5" thickBot="1"/>
    <row r="103" spans="3:8" ht="13.5" thickBot="1">
      <c r="C103" s="222" t="s">
        <v>525</v>
      </c>
      <c r="D103" s="223"/>
      <c r="E103" s="223"/>
      <c r="F103" s="223"/>
      <c r="G103" s="223"/>
      <c r="H103" s="224"/>
    </row>
    <row r="104" spans="3:8" ht="12.75">
      <c r="C104" s="236" t="s">
        <v>471</v>
      </c>
      <c r="D104" s="237"/>
      <c r="E104" s="238"/>
      <c r="F104" s="236" t="s">
        <v>526</v>
      </c>
      <c r="G104" s="237"/>
      <c r="H104" s="238"/>
    </row>
    <row r="105" spans="1:8" ht="25.5">
      <c r="A105" t="str">
        <f>A88</f>
        <v>Per $1000 of assessed value</v>
      </c>
      <c r="C105" s="184" t="s">
        <v>466</v>
      </c>
      <c r="D105" s="137" t="s">
        <v>467</v>
      </c>
      <c r="E105" s="185" t="s">
        <v>468</v>
      </c>
      <c r="F105" s="184" t="s">
        <v>466</v>
      </c>
      <c r="G105" s="137" t="s">
        <v>467</v>
      </c>
      <c r="H105" s="185" t="s">
        <v>468</v>
      </c>
    </row>
    <row r="106" spans="1:8" ht="12.75">
      <c r="A106" t="str">
        <f aca="true" t="shared" si="21" ref="A106:A118">A89</f>
        <v>Village tax</v>
      </c>
      <c r="C106" s="186">
        <f>B4</f>
        <v>9.87</v>
      </c>
      <c r="D106" s="183">
        <f>E106-C106</f>
        <v>-9.87</v>
      </c>
      <c r="E106" s="187">
        <f aca="true" t="shared" si="22" ref="E106:E114">H4</f>
        <v>0</v>
      </c>
      <c r="F106" s="186">
        <f>F89</f>
        <v>0</v>
      </c>
      <c r="G106" s="183">
        <f>H106-F106</f>
        <v>0</v>
      </c>
      <c r="H106" s="187">
        <f>H4</f>
        <v>0</v>
      </c>
    </row>
    <row r="107" spans="1:8" ht="12.75">
      <c r="A107" t="str">
        <f t="shared" si="21"/>
        <v>Town tax</v>
      </c>
      <c r="C107" s="188">
        <f>B5</f>
        <v>4.51</v>
      </c>
      <c r="D107" s="173">
        <f aca="true" t="shared" si="23" ref="D107:D114">E107-C107</f>
        <v>1.7205872614821534</v>
      </c>
      <c r="E107" s="189">
        <f t="shared" si="22"/>
        <v>6.230587261482153</v>
      </c>
      <c r="F107" s="188">
        <f>F90</f>
        <v>4.51</v>
      </c>
      <c r="G107" s="173">
        <f>H107-F107</f>
        <v>1.7205872614821534</v>
      </c>
      <c r="H107" s="189">
        <f>H5</f>
        <v>6.230587261482153</v>
      </c>
    </row>
    <row r="108" spans="1:8" ht="12.75">
      <c r="A108" t="str">
        <f t="shared" si="21"/>
        <v>Town Highway tax</v>
      </c>
      <c r="C108" s="188">
        <f>B6</f>
        <v>2.38</v>
      </c>
      <c r="D108" s="173">
        <f t="shared" si="23"/>
        <v>2.852304333731853</v>
      </c>
      <c r="E108" s="189">
        <f t="shared" si="22"/>
        <v>5.232304333731853</v>
      </c>
      <c r="F108" s="188">
        <f>F91</f>
        <v>2.38</v>
      </c>
      <c r="G108" s="173">
        <f>H108-F108</f>
        <v>2.852304333731853</v>
      </c>
      <c r="H108" s="189">
        <f>H6</f>
        <v>5.232304333731853</v>
      </c>
    </row>
    <row r="109" spans="1:8" ht="12.75">
      <c r="A109" t="str">
        <f t="shared" si="21"/>
        <v>Town TOV tax (hwy. &amp; general)</v>
      </c>
      <c r="C109" s="188">
        <v>0</v>
      </c>
      <c r="D109" s="173">
        <f t="shared" si="23"/>
        <v>0</v>
      </c>
      <c r="E109" s="189">
        <f t="shared" si="22"/>
        <v>0</v>
      </c>
      <c r="F109" s="188">
        <f>F92</f>
        <v>2.09</v>
      </c>
      <c r="G109" s="173">
        <f>H109-F109</f>
        <v>-2.09</v>
      </c>
      <c r="H109" s="189">
        <f>H7</f>
        <v>0</v>
      </c>
    </row>
    <row r="110" spans="1:8" ht="12.75">
      <c r="A110" t="str">
        <f t="shared" si="21"/>
        <v>Refuse/Recycling Collection District tax</v>
      </c>
      <c r="C110" s="188">
        <f>B8</f>
        <v>0</v>
      </c>
      <c r="D110" s="173">
        <f t="shared" si="23"/>
        <v>0.5654859822012511</v>
      </c>
      <c r="E110" s="189">
        <f t="shared" si="22"/>
        <v>0.5654859822012511</v>
      </c>
      <c r="F110" s="188">
        <v>0</v>
      </c>
      <c r="G110" s="173">
        <v>0</v>
      </c>
      <c r="H110" s="189">
        <v>0</v>
      </c>
    </row>
    <row r="111" spans="1:8" ht="12.75">
      <c r="A111" t="str">
        <f t="shared" si="21"/>
        <v>Lighting District tax</v>
      </c>
      <c r="C111" s="188">
        <f>B9</f>
        <v>0</v>
      </c>
      <c r="D111" s="173">
        <f t="shared" si="23"/>
        <v>0</v>
      </c>
      <c r="E111" s="189">
        <f t="shared" si="22"/>
        <v>0</v>
      </c>
      <c r="F111" s="188">
        <v>0</v>
      </c>
      <c r="G111" s="173">
        <v>0</v>
      </c>
      <c r="H111" s="189">
        <v>0</v>
      </c>
    </row>
    <row r="112" spans="1:8" ht="12.75">
      <c r="A112" t="str">
        <f t="shared" si="21"/>
        <v>Sidewalk Snow Removal District tax</v>
      </c>
      <c r="C112" s="188">
        <f>B10</f>
        <v>0</v>
      </c>
      <c r="D112" s="173">
        <f t="shared" si="23"/>
        <v>0.13305552522382377</v>
      </c>
      <c r="E112" s="189">
        <f t="shared" si="22"/>
        <v>0.13305552522382377</v>
      </c>
      <c r="F112" s="188">
        <v>0</v>
      </c>
      <c r="G112" s="173">
        <v>0</v>
      </c>
      <c r="H112" s="189">
        <v>0</v>
      </c>
    </row>
    <row r="113" spans="1:8" ht="12.75">
      <c r="A113" t="str">
        <f t="shared" si="21"/>
        <v>Debt Service District tax</v>
      </c>
      <c r="C113" s="188">
        <f>B11</f>
        <v>0</v>
      </c>
      <c r="D113" s="173">
        <f t="shared" si="23"/>
        <v>0.9009411372113815</v>
      </c>
      <c r="E113" s="189">
        <f t="shared" si="22"/>
        <v>0.9009411372113815</v>
      </c>
      <c r="F113" s="188">
        <v>0</v>
      </c>
      <c r="G113" s="173">
        <v>0</v>
      </c>
      <c r="H113" s="189">
        <v>0</v>
      </c>
    </row>
    <row r="114" spans="1:8" ht="13.5" thickBot="1">
      <c r="A114" t="str">
        <f t="shared" si="21"/>
        <v>Fire District/ Fire Protection District tax</v>
      </c>
      <c r="C114" s="190">
        <f>B12</f>
        <v>0</v>
      </c>
      <c r="D114" s="182">
        <f t="shared" si="23"/>
        <v>1.8925152630210575</v>
      </c>
      <c r="E114" s="191">
        <f t="shared" si="22"/>
        <v>1.8925152630210575</v>
      </c>
      <c r="F114" s="190">
        <v>0</v>
      </c>
      <c r="G114" s="182">
        <v>0</v>
      </c>
      <c r="H114" s="191">
        <v>0</v>
      </c>
    </row>
    <row r="115" spans="1:8" ht="13.5" thickTop="1">
      <c r="A115" t="str">
        <f t="shared" si="21"/>
        <v>Total Tax Rate*</v>
      </c>
      <c r="C115" s="188">
        <f aca="true" t="shared" si="24" ref="C115:H115">SUM(C106:C114)</f>
        <v>16.759999999999998</v>
      </c>
      <c r="D115" s="173">
        <f t="shared" si="24"/>
        <v>-1.805110497128479</v>
      </c>
      <c r="E115" s="189">
        <f t="shared" si="24"/>
        <v>14.95488950287152</v>
      </c>
      <c r="F115" s="188">
        <f t="shared" si="24"/>
        <v>8.98</v>
      </c>
      <c r="G115" s="173">
        <f t="shared" si="24"/>
        <v>2.4828915952140065</v>
      </c>
      <c r="H115" s="189">
        <f t="shared" si="24"/>
        <v>11.462891595214007</v>
      </c>
    </row>
    <row r="116" spans="1:8" ht="12.75">
      <c r="A116" s="200" t="s">
        <v>534</v>
      </c>
      <c r="C116" s="192"/>
      <c r="D116" s="138"/>
      <c r="E116" s="193"/>
      <c r="F116" s="192"/>
      <c r="G116" s="138"/>
      <c r="H116" s="193"/>
    </row>
    <row r="117" spans="1:8" ht="12.75">
      <c r="A117" t="str">
        <f t="shared" si="21"/>
        <v>Tax on Home Assessed for $100,000</v>
      </c>
      <c r="C117" s="194">
        <f>$A$17*C115/1000</f>
        <v>1675.9999999999998</v>
      </c>
      <c r="D117" s="136">
        <f>E117-C117</f>
        <v>-180.51104971284758</v>
      </c>
      <c r="E117" s="195">
        <f>$A$17*E115/1000</f>
        <v>1495.4889502871522</v>
      </c>
      <c r="F117" s="194">
        <f>$A$17*F115/1000</f>
        <v>898</v>
      </c>
      <c r="G117" s="136">
        <f>H117-F117</f>
        <v>248.28915952140073</v>
      </c>
      <c r="H117" s="195">
        <f>$A$17*H115/1000</f>
        <v>1146.2891595214007</v>
      </c>
    </row>
    <row r="118" spans="1:8" ht="13.5" thickBot="1">
      <c r="A118" t="str">
        <f t="shared" si="21"/>
        <v>Percentage Change in Tax</v>
      </c>
      <c r="C118" s="239">
        <f>D117/C117</f>
        <v>-0.10770349028212864</v>
      </c>
      <c r="D118" s="240"/>
      <c r="E118" s="241"/>
      <c r="F118" s="239">
        <f>G117/F117</f>
        <v>0.27649126895478926</v>
      </c>
      <c r="G118" s="240"/>
      <c r="H118" s="241"/>
    </row>
  </sheetData>
  <sheetProtection/>
  <mergeCells count="40">
    <mergeCell ref="F2:H2"/>
    <mergeCell ref="A14:H14"/>
    <mergeCell ref="F19:H19"/>
    <mergeCell ref="C101:E101"/>
    <mergeCell ref="C18:H18"/>
    <mergeCell ref="C35:H35"/>
    <mergeCell ref="F33:H33"/>
    <mergeCell ref="F36:H36"/>
    <mergeCell ref="F50:H50"/>
    <mergeCell ref="C67:E67"/>
    <mergeCell ref="C104:E104"/>
    <mergeCell ref="C118:E118"/>
    <mergeCell ref="J1:Q1"/>
    <mergeCell ref="L2:N2"/>
    <mergeCell ref="O2:Q2"/>
    <mergeCell ref="J10:Q10"/>
    <mergeCell ref="C19:E19"/>
    <mergeCell ref="A1:H1"/>
    <mergeCell ref="C2:E2"/>
    <mergeCell ref="L11:N11"/>
    <mergeCell ref="O11:Q11"/>
    <mergeCell ref="C53:E53"/>
    <mergeCell ref="C87:E87"/>
    <mergeCell ref="C70:E70"/>
    <mergeCell ref="C84:E84"/>
    <mergeCell ref="C33:E33"/>
    <mergeCell ref="C36:E36"/>
    <mergeCell ref="C50:E50"/>
    <mergeCell ref="F53:H53"/>
    <mergeCell ref="F67:H67"/>
    <mergeCell ref="F104:H104"/>
    <mergeCell ref="F118:H118"/>
    <mergeCell ref="C52:H52"/>
    <mergeCell ref="C69:H69"/>
    <mergeCell ref="C86:H86"/>
    <mergeCell ref="C103:H103"/>
    <mergeCell ref="F70:H70"/>
    <mergeCell ref="F84:H84"/>
    <mergeCell ref="F87:H87"/>
    <mergeCell ref="F101:H10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Hung Dang</cp:lastModifiedBy>
  <cp:lastPrinted>2009-11-03T19:22:01Z</cp:lastPrinted>
  <dcterms:created xsi:type="dcterms:W3CDTF">1996-10-14T23:33:28Z</dcterms:created>
  <dcterms:modified xsi:type="dcterms:W3CDTF">2009-11-19T20:58:11Z</dcterms:modified>
  <cp:category/>
  <cp:version/>
  <cp:contentType/>
  <cp:contentStatus/>
</cp:coreProperties>
</file>